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8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drawing+xml" PartName="/xl/drawings/worksheetdrawing9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CTIVOS FIJOS" sheetId="1" r:id="rId3"/>
    <sheet state="visible" name="GASTOS INICIALES" sheetId="2" r:id="rId4"/>
    <sheet state="visible" name="PERSONAL" sheetId="3" r:id="rId5"/>
    <sheet state="hidden" name="BALANCE DE PAGOS Y GASTOS" sheetId="4" r:id="rId6"/>
    <sheet state="visible" name="GANACIAS Y PÉRDIDAS" sheetId="5" r:id="rId7"/>
    <sheet state="visible" name="BALANCE GENERAL " sheetId="6" r:id="rId8"/>
    <sheet state="visible" name="COSTOS DE PRODUCCION Y OTROS" sheetId="7" r:id="rId9"/>
    <sheet state="visible" name="PROYECCION DE VENTAS" sheetId="8" r:id="rId10"/>
    <sheet state="hidden" name="PRÉSTAMO" sheetId="9" r:id="rId11"/>
    <sheet state="visible" name="FLUJO DE CAJA" sheetId="10" r:id="rId12"/>
  </sheets>
  <definedNames/>
  <calcPr/>
</workbook>
</file>

<file path=xl/sharedStrings.xml><?xml version="1.0" encoding="utf-8"?>
<sst xmlns="http://schemas.openxmlformats.org/spreadsheetml/2006/main" count="186" uniqueCount="149">
  <si>
    <t>activos fijos</t>
  </si>
  <si>
    <t xml:space="preserve">unidad </t>
  </si>
  <si>
    <t xml:space="preserve">precio unidad </t>
  </si>
  <si>
    <t xml:space="preserve">clase </t>
  </si>
  <si>
    <t xml:space="preserve">años depreciación </t>
  </si>
  <si>
    <t xml:space="preserve">TOTAL </t>
  </si>
  <si>
    <t>moto</t>
  </si>
  <si>
    <t>MAQ</t>
  </si>
  <si>
    <t>escritorio</t>
  </si>
  <si>
    <t>silla</t>
  </si>
  <si>
    <t xml:space="preserve">computadores </t>
  </si>
  <si>
    <t>software</t>
  </si>
  <si>
    <t>PI </t>
  </si>
  <si>
    <t xml:space="preserve">impresora </t>
  </si>
  <si>
    <t>trípode</t>
  </si>
  <si>
    <t>lentes</t>
  </si>
  <si>
    <t>filtros</t>
  </si>
  <si>
    <t>obturadores</t>
  </si>
  <si>
    <t>maletín</t>
  </si>
  <si>
    <t>ART</t>
  </si>
  <si>
    <t>camara reflex</t>
  </si>
  <si>
    <t>TOTAL</t>
  </si>
  <si>
    <t>GASTOS ADMINISTRATIVOS</t>
  </si>
  <si>
    <t>Gasto</t>
  </si>
  <si>
    <t>Unidad</t>
  </si>
  <si>
    <t>Costo</t>
  </si>
  <si>
    <t>Total producción</t>
  </si>
  <si>
    <t xml:space="preserve">Total administración </t>
  </si>
  <si>
    <t>Producción</t>
  </si>
  <si>
    <t xml:space="preserve">Administración </t>
  </si>
  <si>
    <t xml:space="preserve">adecuación y montaje </t>
  </si>
  <si>
    <t xml:space="preserve">arrendamiento </t>
  </si>
  <si>
    <t xml:space="preserve">agua </t>
  </si>
  <si>
    <t xml:space="preserve">energía </t>
  </si>
  <si>
    <t>teléfono</t>
  </si>
  <si>
    <t>insumos producción kit suvenir</t>
  </si>
  <si>
    <t xml:space="preserve">servicio de personal </t>
  </si>
  <si>
    <t>PERSONAL</t>
  </si>
  <si>
    <t>cargo</t>
  </si>
  <si>
    <t># persona</t>
  </si>
  <si>
    <t xml:space="preserve">salario </t>
  </si>
  <si>
    <t># horas</t>
  </si>
  <si>
    <t>valor x hora</t>
  </si>
  <si>
    <t xml:space="preserve">total </t>
  </si>
  <si>
    <t xml:space="preserve">gerente </t>
  </si>
  <si>
    <t xml:space="preserve">administracion </t>
  </si>
  <si>
    <t>diseñador</t>
  </si>
  <si>
    <t>produccion</t>
  </si>
  <si>
    <t>Total</t>
  </si>
  <si>
    <t>BALANCE DE PAGOS Y GASTOS</t>
  </si>
  <si>
    <t># unidades</t>
  </si>
  <si>
    <t>precio de venta</t>
  </si>
  <si>
    <t>INGRESOS</t>
  </si>
  <si>
    <t>costos fijos</t>
  </si>
  <si>
    <t>costos variables</t>
  </si>
  <si>
    <t>kit suvenir(pocillo, caja, postal)</t>
  </si>
  <si>
    <t>ESTADO DE GANANCIAS Y PÉRDIDAS</t>
  </si>
  <si>
    <t>Ventas</t>
  </si>
  <si>
    <t>Costos producción</t>
  </si>
  <si>
    <t>Utilidad bruta operacional</t>
  </si>
  <si>
    <t>Gastos admón. y ventas</t>
  </si>
  <si>
    <t>Utilidad operacional</t>
  </si>
  <si>
    <t>Gastos financieros</t>
  </si>
  <si>
    <t>Intereses (Anuales)</t>
  </si>
  <si>
    <t>Utilidad antes de impuestos</t>
  </si>
  <si>
    <t>Impuestos</t>
  </si>
  <si>
    <t>Utilidad líquida</t>
  </si>
  <si>
    <t>Reservas legales 10%</t>
  </si>
  <si>
    <t>Utilidad del ejercicio</t>
  </si>
  <si>
    <t>ACTIVO</t>
  </si>
  <si>
    <t>PASIVO Y PATRIMONIO</t>
  </si>
  <si>
    <t>activo corriente</t>
  </si>
  <si>
    <t>pasivo corriente</t>
  </si>
  <si>
    <t>caja y banco</t>
  </si>
  <si>
    <t>proveedores</t>
  </si>
  <si>
    <t>Clientes</t>
  </si>
  <si>
    <t>bancos</t>
  </si>
  <si>
    <t>Inventarios</t>
  </si>
  <si>
    <t>empleados</t>
  </si>
  <si>
    <t>cuentas por cobrar</t>
  </si>
  <si>
    <t>impuestos</t>
  </si>
  <si>
    <t>TOTAL ACTIVOS CORRIENTES</t>
  </si>
  <si>
    <t>TOTAL PASIVO CORRIENTE</t>
  </si>
  <si>
    <t>activos no corrientes</t>
  </si>
  <si>
    <t>pasivo no corriente</t>
  </si>
  <si>
    <t>deudas largo plazo</t>
  </si>
  <si>
    <t>depreciación</t>
  </si>
  <si>
    <t>TOTAL PASIVO NO CORRIENTE</t>
  </si>
  <si>
    <t>total activo fijo neto</t>
  </si>
  <si>
    <t>TOTAL PASIVO</t>
  </si>
  <si>
    <t>TOTAL ACTIVO NO CORRIENTE</t>
  </si>
  <si>
    <t>PATRIMONIO</t>
  </si>
  <si>
    <t>capital</t>
  </si>
  <si>
    <t>utilidades acumuladas</t>
  </si>
  <si>
    <t>TOTAL PATRIMONIO</t>
  </si>
  <si>
    <t>TOTAL ACTIVOS</t>
  </si>
  <si>
    <t>TOTAL PASIVO + PATRIMONIO</t>
  </si>
  <si>
    <t xml:space="preserve"> Incremento IPM-IPC:</t>
  </si>
  <si>
    <t>año 1</t>
  </si>
  <si>
    <t xml:space="preserve">año 2 </t>
  </si>
  <si>
    <t>año 3</t>
  </si>
  <si>
    <t>año 4</t>
  </si>
  <si>
    <t>año 5</t>
  </si>
  <si>
    <t>Costo de producción kit suvenir:</t>
  </si>
  <si>
    <t xml:space="preserve">material </t>
  </si>
  <si>
    <t>año  1</t>
  </si>
  <si>
    <t>pocillo</t>
  </si>
  <si>
    <t>imagen</t>
  </si>
  <si>
    <t>sublimación</t>
  </si>
  <si>
    <t>papel para postal</t>
  </si>
  <si>
    <t>impresión</t>
  </si>
  <si>
    <t>cartón para empaque</t>
  </si>
  <si>
    <t>troquelada empaque</t>
  </si>
  <si>
    <t>total</t>
  </si>
  <si>
    <t>Total Año 1 por paquetes a vender</t>
  </si>
  <si>
    <t>TRM</t>
  </si>
  <si>
    <t>año 2</t>
  </si>
  <si>
    <t>PROYECCIÓN VENTAS (MUGS FOTOGRAFICOS) CANTIDAD DE PAQUETES VENDIDOS</t>
  </si>
  <si>
    <t># de paquetes vendidos</t>
  </si>
  <si>
    <t>Año 1</t>
  </si>
  <si>
    <t>Año 2</t>
  </si>
  <si>
    <t xml:space="preserve">Año 3 </t>
  </si>
  <si>
    <t xml:space="preserve">Año 4 </t>
  </si>
  <si>
    <t>Año 5</t>
  </si>
  <si>
    <t>Paquete individual</t>
  </si>
  <si>
    <t xml:space="preserve">Paquete por 3 </t>
  </si>
  <si>
    <t>PROYECCIÓN VENTAS (MUGS FOTOGRAFICOS) PRECIO PAQUETE</t>
  </si>
  <si>
    <t>Precios Paquetes</t>
  </si>
  <si>
    <t>PROYECCIÓN VENTAS (MUGS FOTOGRAFICOS) VENTA DE PAQUETES</t>
  </si>
  <si>
    <t>Precios x Paquetes</t>
  </si>
  <si>
    <t xml:space="preserve">utilidad </t>
  </si>
  <si>
    <t>PRÉSTAMO</t>
  </si>
  <si>
    <t>VALOR:</t>
  </si>
  <si>
    <t>TASA DE INTERES</t>
  </si>
  <si>
    <t>TIEMPO</t>
  </si>
  <si>
    <t>VALOR CUOTA</t>
  </si>
  <si>
    <t>Mes</t>
  </si>
  <si>
    <t>Valor Cuota</t>
  </si>
  <si>
    <t>Valor Interés</t>
  </si>
  <si>
    <t>Abono Capital</t>
  </si>
  <si>
    <t xml:space="preserve">Saldo Capital </t>
  </si>
  <si>
    <t>FLUJO DE CAJA</t>
  </si>
  <si>
    <t>CONCEPTO</t>
  </si>
  <si>
    <t xml:space="preserve"> AÑO 1</t>
  </si>
  <si>
    <t>Ingresos</t>
  </si>
  <si>
    <t>Costos y Gastos</t>
  </si>
  <si>
    <t>Impuesto</t>
  </si>
  <si>
    <t>Utilidad despues de impuestos</t>
  </si>
  <si>
    <t>Flujo de Caja Neto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</si>
</sst>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;[Red]\-&quot;$&quot;#,##0"/>
    <numFmt numFmtId="165" formatCode="&quot;$&quot;\ #,##0_);[Red]\(&quot;$&quot;\ #,##0\)"/>
    <numFmt numFmtId="166" formatCode="_-* #,##0\ _€_-;\-* #,##0\ _€_-;_-* &quot;-&quot;??\ _€_-;_-@"/>
    <numFmt numFmtId="167" formatCode="#,##0\ &quot;€&quot;;[Red]\-#,##0\ &quot;€&quot;"/>
  </numFmts>
  <fonts count="7">
    <font>
      <sz val="11.0"/>
      <color rgb="FF000000"/>
      <name val="Calibri"/>
    </font>
    <font>
      <sz val="11.0"/>
      <color rgb="FF000000"/>
      <name val="Arial"/>
    </font>
    <font/>
    <font>
      <b/>
      <sz val="11.0"/>
      <color rgb="FF000000"/>
      <name val="Arial"/>
    </font>
    <font>
      <b/>
      <sz val="11.0"/>
      <color rgb="FF000000"/>
      <name val="Calibri"/>
    </font>
    <font>
      <sz val="11.0"/>
      <color rgb="FFFF0000"/>
      <name val="Arial"/>
    </font>
    <font>
      <b/>
      <sz val="11.0"/>
      <color rgb="FF000000"/>
      <name val="Noto Sans Symbols"/>
    </font>
  </fonts>
  <fills count="7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Alignment="1" applyFont="1">
      <alignment vertical="center" wrapText="1"/>
    </xf>
    <xf borderId="0" fillId="0" fontId="0" numFmtId="0" xfId="0" applyFont="1"/>
    <xf borderId="0" fillId="0" fontId="0" numFmtId="0" xfId="0" applyFont="1"/>
    <xf borderId="4" fillId="0" fontId="3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left" vertical="center"/>
    </xf>
    <xf borderId="5" fillId="0" fontId="1" numFmtId="0" xfId="0" applyAlignment="1" applyBorder="1" applyFont="1">
      <alignment horizontal="center" vertical="center"/>
    </xf>
    <xf borderId="5" fillId="0" fontId="1" numFmtId="164" xfId="0" applyAlignment="1" applyBorder="1" applyFont="1" applyNumberFormat="1">
      <alignment horizontal="left" vertical="center"/>
    </xf>
    <xf borderId="5" fillId="0" fontId="1" numFmtId="0" xfId="0" applyAlignment="1" applyBorder="1" applyFont="1">
      <alignment horizontal="left" vertical="center"/>
    </xf>
    <xf borderId="0" fillId="0" fontId="0" numFmtId="0" xfId="0" applyAlignment="1" applyFont="1">
      <alignment vertical="center"/>
    </xf>
    <xf borderId="6" fillId="0" fontId="1" numFmtId="0" xfId="0" applyAlignment="1" applyBorder="1" applyFont="1">
      <alignment horizontal="left" vertical="center"/>
    </xf>
    <xf borderId="7" fillId="0" fontId="1" numFmtId="164" xfId="0" applyAlignment="1" applyBorder="1" applyFont="1" applyNumberFormat="1">
      <alignment horizontal="left" vertical="center"/>
    </xf>
    <xf borderId="8" fillId="0" fontId="1" numFmtId="0" xfId="0" applyAlignment="1" applyBorder="1" applyFont="1">
      <alignment horizontal="left" vertical="center"/>
    </xf>
    <xf borderId="6" fillId="0" fontId="1" numFmtId="0" xfId="0" applyAlignment="1" applyBorder="1" applyFont="1">
      <alignment horizontal="center" vertical="center"/>
    </xf>
    <xf borderId="0" fillId="0" fontId="1" numFmtId="165" xfId="0" applyAlignment="1" applyFont="1" applyNumberFormat="1">
      <alignment horizontal="left" vertical="center"/>
    </xf>
    <xf borderId="9" fillId="2" fontId="1" numFmtId="0" xfId="0" applyAlignment="1" applyBorder="1" applyFont="1">
      <alignment horizontal="left" vertical="center"/>
    </xf>
    <xf borderId="8" fillId="0" fontId="4" numFmtId="0" xfId="0" applyAlignment="1" applyBorder="1" applyFont="1">
      <alignment horizontal="center"/>
    </xf>
    <xf borderId="1" fillId="0" fontId="0" numFmtId="0" xfId="0" applyBorder="1" applyFont="1"/>
    <xf borderId="4" fillId="0" fontId="0" numFmtId="0" xfId="0" applyBorder="1" applyFont="1"/>
    <xf borderId="8" fillId="0" fontId="0" numFmtId="0" xfId="0" applyAlignment="1" applyBorder="1" applyFont="1">
      <alignment horizontal="center"/>
    </xf>
    <xf borderId="0" fillId="0" fontId="0" numFmtId="0" xfId="0" applyAlignment="1" applyFont="1">
      <alignment horizontal="center"/>
    </xf>
    <xf borderId="7" fillId="3" fontId="3" numFmtId="0" xfId="0" applyAlignment="1" applyBorder="1" applyFill="1" applyFont="1">
      <alignment horizontal="center" vertical="center"/>
    </xf>
    <xf borderId="7" fillId="0" fontId="2" numFmtId="0" xfId="0" applyBorder="1" applyFont="1"/>
    <xf borderId="7" fillId="0" fontId="2" numFmtId="0" xfId="0" applyBorder="1" applyFont="1"/>
    <xf borderId="4" fillId="0" fontId="1" numFmtId="0" xfId="0" applyAlignment="1" applyBorder="1" applyFont="1">
      <alignment horizontal="center" vertical="center"/>
    </xf>
    <xf borderId="5" fillId="0" fontId="1" numFmtId="164" xfId="0" applyAlignment="1" applyBorder="1" applyFont="1" applyNumberFormat="1">
      <alignment horizontal="center" vertical="center"/>
    </xf>
    <xf borderId="5" fillId="0" fontId="1" numFmtId="9" xfId="0" applyAlignment="1" applyBorder="1" applyFont="1" applyNumberFormat="1">
      <alignment horizontal="center" vertical="center"/>
    </xf>
    <xf borderId="10" fillId="0" fontId="1" numFmtId="0" xfId="0" applyAlignment="1" applyBorder="1" applyFont="1">
      <alignment horizontal="center" vertical="center"/>
    </xf>
    <xf borderId="6" fillId="0" fontId="1" numFmtId="164" xfId="0" applyAlignment="1" applyBorder="1" applyFont="1" applyNumberFormat="1">
      <alignment horizontal="center" vertical="center"/>
    </xf>
    <xf borderId="6" fillId="0" fontId="1" numFmtId="9" xfId="0" applyAlignment="1" applyBorder="1" applyFont="1" applyNumberFormat="1">
      <alignment horizontal="center" vertical="center"/>
    </xf>
    <xf borderId="8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3" fillId="0" fontId="1" numFmtId="164" xfId="0" applyAlignment="1" applyBorder="1" applyFont="1" applyNumberFormat="1">
      <alignment horizontal="center" vertical="center"/>
    </xf>
    <xf borderId="3" fillId="0" fontId="1" numFmtId="9" xfId="0" applyAlignment="1" applyBorder="1" applyFont="1" applyNumberFormat="1">
      <alignment horizontal="center" vertical="center"/>
    </xf>
    <xf borderId="4" fillId="0" fontId="1" numFmtId="0" xfId="0" applyAlignment="1" applyBorder="1" applyFont="1">
      <alignment horizontal="center" vertical="center" wrapText="1"/>
    </xf>
    <xf borderId="0" fillId="0" fontId="0" numFmtId="164" xfId="0" applyFont="1" applyNumberFormat="1"/>
    <xf borderId="0" fillId="0" fontId="1" numFmtId="164" xfId="0" applyAlignment="1" applyFont="1" applyNumberFormat="1">
      <alignment horizontal="left" vertical="center"/>
    </xf>
    <xf borderId="0" fillId="0" fontId="0" numFmtId="166" xfId="0" applyFont="1" applyNumberFormat="1"/>
    <xf borderId="7" fillId="2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left" vertical="center"/>
    </xf>
    <xf borderId="5" fillId="0" fontId="1" numFmtId="3" xfId="0" applyAlignment="1" applyBorder="1" applyFont="1" applyNumberFormat="1">
      <alignment horizontal="left" vertical="center"/>
    </xf>
    <xf borderId="2" fillId="0" fontId="0" numFmtId="0" xfId="0" applyBorder="1" applyFont="1"/>
    <xf borderId="3" fillId="0" fontId="0" numFmtId="0" xfId="0" applyBorder="1" applyFont="1"/>
    <xf borderId="7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left" vertical="center"/>
    </xf>
    <xf borderId="1" fillId="0" fontId="4" numFmtId="0" xfId="0" applyAlignment="1" applyBorder="1" applyFont="1">
      <alignment horizontal="center"/>
    </xf>
    <xf borderId="3" fillId="0" fontId="1" numFmtId="164" xfId="0" applyAlignment="1" applyBorder="1" applyFont="1" applyNumberFormat="1">
      <alignment horizontal="left" vertical="center"/>
    </xf>
    <xf borderId="4" fillId="3" fontId="1" numFmtId="0" xfId="0" applyAlignment="1" applyBorder="1" applyFont="1">
      <alignment horizontal="left" vertical="center"/>
    </xf>
    <xf borderId="5" fillId="3" fontId="1" numFmtId="164" xfId="0" applyAlignment="1" applyBorder="1" applyFont="1" applyNumberFormat="1">
      <alignment horizontal="left" vertical="center"/>
    </xf>
    <xf borderId="5" fillId="0" fontId="1" numFmtId="166" xfId="0" applyAlignment="1" applyBorder="1" applyFont="1" applyNumberFormat="1">
      <alignment horizontal="left" vertical="center"/>
    </xf>
    <xf borderId="5" fillId="3" fontId="5" numFmtId="164" xfId="0" applyAlignment="1" applyBorder="1" applyFont="1" applyNumberFormat="1">
      <alignment horizontal="left" vertical="center"/>
    </xf>
    <xf borderId="5" fillId="0" fontId="5" numFmtId="164" xfId="0" applyAlignment="1" applyBorder="1" applyFont="1" applyNumberFormat="1">
      <alignment horizontal="left" vertical="center"/>
    </xf>
    <xf borderId="8" fillId="4" fontId="1" numFmtId="0" xfId="0" applyAlignment="1" applyBorder="1" applyFill="1" applyFont="1">
      <alignment horizontal="left" vertical="center"/>
    </xf>
    <xf borderId="3" fillId="4" fontId="1" numFmtId="0" xfId="0" applyAlignment="1" applyBorder="1" applyFont="1">
      <alignment horizontal="left" vertical="center"/>
    </xf>
    <xf borderId="4" fillId="5" fontId="1" numFmtId="0" xfId="0" applyAlignment="1" applyBorder="1" applyFill="1" applyFont="1">
      <alignment horizontal="left" vertical="center"/>
    </xf>
    <xf borderId="5" fillId="5" fontId="1" numFmtId="0" xfId="0" applyAlignment="1" applyBorder="1" applyFont="1">
      <alignment horizontal="left" vertical="center"/>
    </xf>
    <xf borderId="4" fillId="4" fontId="1" numFmtId="0" xfId="0" applyAlignment="1" applyBorder="1" applyFont="1">
      <alignment horizontal="left" vertical="center"/>
    </xf>
    <xf borderId="5" fillId="4" fontId="1" numFmtId="0" xfId="0" applyAlignment="1" applyBorder="1" applyFont="1">
      <alignment horizontal="left" vertical="center"/>
    </xf>
    <xf borderId="1" fillId="0" fontId="6" numFmtId="0" xfId="0" applyAlignment="1" applyBorder="1" applyFont="1">
      <alignment horizontal="center" vertical="center"/>
    </xf>
    <xf borderId="8" fillId="3" fontId="1" numFmtId="0" xfId="0" applyAlignment="1" applyBorder="1" applyFont="1">
      <alignment horizontal="center" vertical="center"/>
    </xf>
    <xf borderId="3" fillId="3" fontId="1" numFmtId="0" xfId="0" applyAlignment="1" applyBorder="1" applyFont="1">
      <alignment horizontal="center" vertical="center"/>
    </xf>
    <xf borderId="4" fillId="0" fontId="1" numFmtId="10" xfId="0" applyAlignment="1" applyBorder="1" applyFont="1" applyNumberFormat="1">
      <alignment horizontal="center" vertical="center"/>
    </xf>
    <xf borderId="5" fillId="0" fontId="1" numFmtId="10" xfId="0" applyAlignment="1" applyBorder="1" applyFont="1" applyNumberFormat="1">
      <alignment horizontal="center" vertical="center"/>
    </xf>
    <xf borderId="12" fillId="0" fontId="3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9" fillId="0" fontId="2" numFmtId="0" xfId="0" applyBorder="1" applyFont="1"/>
    <xf borderId="7" fillId="0" fontId="2" numFmtId="0" xfId="0" applyBorder="1" applyFont="1"/>
    <xf borderId="5" fillId="0" fontId="2" numFmtId="0" xfId="0" applyBorder="1" applyFont="1"/>
    <xf borderId="4" fillId="6" fontId="1" numFmtId="0" xfId="0" applyAlignment="1" applyBorder="1" applyFill="1" applyFont="1">
      <alignment horizontal="left" vertical="center"/>
    </xf>
    <xf borderId="5" fillId="3" fontId="1" numFmtId="0" xfId="0" applyAlignment="1" applyBorder="1" applyFont="1">
      <alignment horizontal="left" vertical="center"/>
    </xf>
    <xf borderId="4" fillId="0" fontId="1" numFmtId="0" xfId="0" applyAlignment="1" applyBorder="1" applyFont="1">
      <alignment horizontal="left" vertical="center" wrapText="1"/>
    </xf>
    <xf borderId="10" fillId="0" fontId="1" numFmtId="0" xfId="0" applyAlignment="1" applyBorder="1" applyFont="1">
      <alignment horizontal="left" vertical="center"/>
    </xf>
    <xf borderId="6" fillId="0" fontId="1" numFmtId="164" xfId="0" applyAlignment="1" applyBorder="1" applyFont="1" applyNumberFormat="1">
      <alignment horizontal="left" vertical="center"/>
    </xf>
    <xf borderId="11" fillId="0" fontId="1" numFmtId="164" xfId="0" applyAlignment="1" applyBorder="1" applyFont="1" applyNumberFormat="1">
      <alignment horizontal="left" vertical="center"/>
    </xf>
    <xf borderId="1" fillId="0" fontId="3" numFmtId="0" xfId="0" applyAlignment="1" applyBorder="1" applyFont="1">
      <alignment horizontal="center" vertical="center"/>
    </xf>
    <xf borderId="4" fillId="3" fontId="1" numFmtId="0" xfId="0" applyAlignment="1" applyBorder="1" applyFont="1">
      <alignment horizontal="center" vertical="center"/>
    </xf>
    <xf borderId="5" fillId="3" fontId="1" numFmtId="0" xfId="0" applyAlignment="1" applyBorder="1" applyFont="1">
      <alignment horizontal="center" vertical="center"/>
    </xf>
    <xf borderId="4" fillId="0" fontId="1" numFmtId="164" xfId="0" applyAlignment="1" applyBorder="1" applyFont="1" applyNumberFormat="1">
      <alignment horizontal="center" vertical="center"/>
    </xf>
    <xf borderId="4" fillId="0" fontId="1" numFmtId="0" xfId="0" applyAlignment="1" applyBorder="1" applyFont="1">
      <alignment vertical="center" wrapText="1"/>
    </xf>
    <xf borderId="5" fillId="3" fontId="1" numFmtId="0" xfId="0" applyAlignment="1" applyBorder="1" applyFont="1">
      <alignment horizontal="center" vertical="center" wrapText="1"/>
    </xf>
    <xf borderId="5" fillId="0" fontId="1" numFmtId="0" xfId="0" applyAlignment="1" applyBorder="1" applyFont="1">
      <alignment vertical="center" wrapText="1"/>
    </xf>
    <xf borderId="5" fillId="0" fontId="1" numFmtId="166" xfId="0" applyAlignment="1" applyBorder="1" applyFont="1" applyNumberFormat="1">
      <alignment vertical="center" wrapText="1"/>
    </xf>
    <xf borderId="6" fillId="0" fontId="1" numFmtId="166" xfId="0" applyAlignment="1" applyBorder="1" applyFont="1" applyNumberFormat="1">
      <alignment vertical="center" wrapText="1"/>
    </xf>
    <xf borderId="15" fillId="0" fontId="1" numFmtId="0" xfId="0" applyAlignment="1" applyBorder="1" applyFont="1">
      <alignment vertical="center" wrapText="1"/>
    </xf>
    <xf borderId="16" fillId="0" fontId="1" numFmtId="166" xfId="0" applyAlignment="1" applyBorder="1" applyFont="1" applyNumberFormat="1">
      <alignment vertical="center" wrapText="1"/>
    </xf>
    <xf borderId="17" fillId="0" fontId="1" numFmtId="166" xfId="0" applyAlignment="1" applyBorder="1" applyFont="1" applyNumberFormat="1">
      <alignment vertical="center" wrapText="1"/>
    </xf>
    <xf borderId="18" fillId="0" fontId="1" numFmtId="166" xfId="0" applyAlignment="1" applyBorder="1" applyFont="1" applyNumberFormat="1">
      <alignment vertical="center" wrapText="1"/>
    </xf>
    <xf borderId="19" fillId="0" fontId="1" numFmtId="0" xfId="0" applyAlignment="1" applyBorder="1" applyFont="1">
      <alignment vertical="center" wrapText="1"/>
    </xf>
    <xf borderId="20" fillId="0" fontId="0" numFmtId="166" xfId="0" applyBorder="1" applyFont="1" applyNumberFormat="1"/>
    <xf borderId="11" fillId="0" fontId="0" numFmtId="166" xfId="0" applyBorder="1" applyFont="1" applyNumberFormat="1"/>
    <xf borderId="21" fillId="0" fontId="0" numFmtId="166" xfId="0" applyBorder="1" applyFont="1" applyNumberFormat="1"/>
    <xf borderId="22" fillId="0" fontId="1" numFmtId="0" xfId="0" applyAlignment="1" applyBorder="1" applyFont="1">
      <alignment vertical="center" wrapText="1"/>
    </xf>
    <xf borderId="23" fillId="0" fontId="0" numFmtId="166" xfId="0" applyBorder="1" applyFont="1" applyNumberFormat="1"/>
    <xf borderId="24" fillId="0" fontId="0" numFmtId="166" xfId="0" applyBorder="1" applyFont="1" applyNumberFormat="1"/>
    <xf borderId="25" fillId="0" fontId="0" numFmtId="166" xfId="0" applyBorder="1" applyFont="1" applyNumberFormat="1"/>
    <xf borderId="11" fillId="0" fontId="0" numFmtId="0" xfId="0" applyBorder="1" applyFont="1"/>
    <xf borderId="11" fillId="0" fontId="0" numFmtId="2" xfId="0" applyBorder="1" applyFont="1" applyNumberFormat="1"/>
    <xf borderId="11" fillId="0" fontId="0" numFmtId="167" xfId="0" applyBorder="1" applyFont="1" applyNumberFormat="1"/>
    <xf borderId="11" fillId="3" fontId="0" numFmtId="0" xfId="0" applyAlignment="1" applyBorder="1" applyFont="1">
      <alignment horizontal="center"/>
    </xf>
    <xf borderId="11" fillId="0" fontId="0" numFmtId="0" xfId="0" applyAlignment="1" applyBorder="1" applyFont="1">
      <alignment horizontal="center"/>
    </xf>
    <xf borderId="11" fillId="0" fontId="0" numFmtId="166" xfId="0" applyAlignment="1" applyBorder="1" applyFont="1" applyNumberFormat="1">
      <alignment horizontal="center"/>
    </xf>
    <xf borderId="11" fillId="3" fontId="0" numFmtId="0" xfId="0" applyBorder="1" applyFont="1"/>
    <xf borderId="11" fillId="3" fontId="0" numFmtId="166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1.25"/>
    <col customWidth="1" min="2" max="2" width="8.63"/>
    <col customWidth="1" min="3" max="3" width="11.25"/>
    <col customWidth="1" min="4" max="4" width="7.25"/>
    <col customWidth="1" min="5" max="5" width="14.38"/>
    <col customWidth="1" min="6" max="6" width="10.75"/>
    <col customWidth="1" min="7" max="16" width="7.25"/>
    <col customWidth="1" min="17" max="26" width="13.25"/>
  </cols>
  <sheetData>
    <row r="1" ht="15.75" customHeight="1">
      <c r="A1" s="1" t="s">
        <v>0</v>
      </c>
      <c r="B1" s="2"/>
      <c r="C1" s="2"/>
      <c r="D1" s="2"/>
      <c r="E1" s="2"/>
      <c r="F1" s="3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7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75" customHeight="1">
      <c r="A3" s="9" t="s">
        <v>6</v>
      </c>
      <c r="B3" s="10">
        <v>1.0</v>
      </c>
      <c r="C3" s="11">
        <v>3000000.0</v>
      </c>
      <c r="D3" s="12" t="s">
        <v>7</v>
      </c>
      <c r="E3" s="10">
        <v>5.0</v>
      </c>
      <c r="F3" s="11" t="str">
        <f t="shared" ref="F3:F14" si="1">SUM(B3*C3)</f>
        <v>$3,000,000</v>
      </c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75" customHeight="1">
      <c r="A4" s="9" t="s">
        <v>8</v>
      </c>
      <c r="B4" s="10">
        <v>1.0</v>
      </c>
      <c r="C4" s="11">
        <v>800000.0</v>
      </c>
      <c r="D4" s="12" t="s">
        <v>7</v>
      </c>
      <c r="E4" s="10">
        <v>5.0</v>
      </c>
      <c r="F4" s="11" t="str">
        <f t="shared" si="1"/>
        <v>$800,000</v>
      </c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75" customHeight="1">
      <c r="A5" s="9" t="s">
        <v>9</v>
      </c>
      <c r="B5" s="10">
        <v>1.0</v>
      </c>
      <c r="C5" s="11">
        <v>180000.0</v>
      </c>
      <c r="D5" s="12" t="s">
        <v>7</v>
      </c>
      <c r="E5" s="10">
        <v>5.0</v>
      </c>
      <c r="F5" s="11" t="str">
        <f t="shared" si="1"/>
        <v>$180,000</v>
      </c>
      <c r="G5" s="5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75" customHeight="1">
      <c r="A6" s="9" t="s">
        <v>10</v>
      </c>
      <c r="B6" s="10">
        <v>1.0</v>
      </c>
      <c r="C6" s="11">
        <v>4000000.0</v>
      </c>
      <c r="D6" s="12" t="s">
        <v>7</v>
      </c>
      <c r="E6" s="10">
        <v>5.0</v>
      </c>
      <c r="F6" s="11" t="str">
        <f t="shared" si="1"/>
        <v>$4,000,000</v>
      </c>
      <c r="G6" s="13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75" customHeight="1">
      <c r="A7" s="9" t="s">
        <v>11</v>
      </c>
      <c r="B7" s="10">
        <v>1.0</v>
      </c>
      <c r="C7" s="11">
        <v>800000.0</v>
      </c>
      <c r="D7" s="12" t="s">
        <v>12</v>
      </c>
      <c r="E7" s="10">
        <v>5.0</v>
      </c>
      <c r="F7" s="11" t="str">
        <f t="shared" si="1"/>
        <v>$800,000</v>
      </c>
      <c r="G7" s="13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75" customHeight="1">
      <c r="A8" s="9" t="s">
        <v>13</v>
      </c>
      <c r="B8" s="10">
        <v>1.0</v>
      </c>
      <c r="C8" s="11">
        <v>1500000.0</v>
      </c>
      <c r="D8" s="12" t="s">
        <v>7</v>
      </c>
      <c r="E8" s="10">
        <v>5.0</v>
      </c>
      <c r="F8" s="11" t="str">
        <f t="shared" si="1"/>
        <v>$1,500,000</v>
      </c>
      <c r="G8" s="13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75" customHeight="1">
      <c r="A9" s="9" t="s">
        <v>14</v>
      </c>
      <c r="B9" s="10">
        <v>1.0</v>
      </c>
      <c r="C9" s="11">
        <v>200000.0</v>
      </c>
      <c r="D9" s="12" t="s">
        <v>7</v>
      </c>
      <c r="E9" s="10">
        <v>5.0</v>
      </c>
      <c r="F9" s="11" t="str">
        <f t="shared" si="1"/>
        <v>$200,000</v>
      </c>
      <c r="G9" s="13"/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75" customHeight="1">
      <c r="A10" s="9" t="s">
        <v>15</v>
      </c>
      <c r="B10" s="10">
        <v>2.0</v>
      </c>
      <c r="C10" s="11">
        <v>2000000.0</v>
      </c>
      <c r="D10" s="12" t="s">
        <v>7</v>
      </c>
      <c r="E10" s="10">
        <v>5.0</v>
      </c>
      <c r="F10" s="11" t="str">
        <f t="shared" si="1"/>
        <v>$4,000,000</v>
      </c>
      <c r="G10" s="13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5.75" customHeight="1">
      <c r="A11" s="9" t="s">
        <v>16</v>
      </c>
      <c r="B11" s="10">
        <v>3.0</v>
      </c>
      <c r="C11" s="11">
        <v>350000.0</v>
      </c>
      <c r="D11" s="12" t="s">
        <v>7</v>
      </c>
      <c r="E11" s="10">
        <v>5.0</v>
      </c>
      <c r="F11" s="11" t="str">
        <f t="shared" si="1"/>
        <v>$1,050,000</v>
      </c>
      <c r="G11" s="13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5.75" customHeight="1">
      <c r="A12" s="9" t="s">
        <v>17</v>
      </c>
      <c r="B12" s="10">
        <v>1.0</v>
      </c>
      <c r="C12" s="11">
        <v>130000.0</v>
      </c>
      <c r="D12" s="14" t="s">
        <v>7</v>
      </c>
      <c r="E12" s="10">
        <v>5.0</v>
      </c>
      <c r="F12" s="11" t="str">
        <f t="shared" si="1"/>
        <v>$130,000</v>
      </c>
      <c r="G12" s="13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5.75" customHeight="1">
      <c r="A13" s="9" t="s">
        <v>18</v>
      </c>
      <c r="B13" s="10">
        <v>1.0</v>
      </c>
      <c r="C13" s="15">
        <v>200000.0</v>
      </c>
      <c r="D13" s="16" t="s">
        <v>19</v>
      </c>
      <c r="E13" s="10">
        <v>5.0</v>
      </c>
      <c r="F13" s="11" t="str">
        <f t="shared" si="1"/>
        <v>$200,000</v>
      </c>
      <c r="G13" s="13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5.75" customHeight="1">
      <c r="A14" s="9" t="s">
        <v>20</v>
      </c>
      <c r="B14" s="17">
        <v>1.0</v>
      </c>
      <c r="C14" s="18">
        <v>3000000.0</v>
      </c>
      <c r="D14" s="9" t="s">
        <v>7</v>
      </c>
      <c r="E14" s="17">
        <v>5.0</v>
      </c>
      <c r="F14" s="11" t="str">
        <f t="shared" si="1"/>
        <v>$3,000,000</v>
      </c>
      <c r="G14" s="13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5.75" customHeight="1">
      <c r="A15" s="19" t="s">
        <v>21</v>
      </c>
      <c r="B15" s="20"/>
      <c r="C15" s="21"/>
      <c r="D15" s="22"/>
      <c r="E15" s="23"/>
      <c r="F15" s="11" t="str">
        <f>SUM(F3:F14)</f>
        <v>$18,860,000</v>
      </c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5"/>
      <c r="B16" s="24"/>
      <c r="C16" s="5"/>
      <c r="D16" s="5"/>
      <c r="E16" s="24"/>
      <c r="F16" s="5"/>
      <c r="G16" s="5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5"/>
      <c r="B17" s="24"/>
      <c r="C17" s="5"/>
      <c r="D17" s="5"/>
      <c r="E17" s="24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5"/>
      <c r="B18" s="24"/>
      <c r="C18" s="5"/>
      <c r="D18" s="5"/>
      <c r="E18" s="24"/>
      <c r="F18" s="5"/>
      <c r="G18" s="5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5"/>
      <c r="B19" s="24"/>
      <c r="C19" s="5"/>
      <c r="D19" s="5"/>
      <c r="E19" s="24"/>
      <c r="F19" s="5"/>
      <c r="G19" s="5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5"/>
      <c r="B20" s="24"/>
      <c r="C20" s="5"/>
      <c r="D20" s="5"/>
      <c r="E20" s="24"/>
      <c r="F20" s="5"/>
      <c r="G20" s="5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5"/>
      <c r="B21" s="24"/>
      <c r="C21" s="5"/>
      <c r="D21" s="5"/>
      <c r="E21" s="24"/>
      <c r="F21" s="5"/>
      <c r="G21" s="5"/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5"/>
      <c r="B22" s="24"/>
      <c r="C22" s="5"/>
      <c r="D22" s="5"/>
      <c r="E22" s="24"/>
      <c r="F22" s="5"/>
      <c r="G22" s="5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5"/>
      <c r="B23" s="24"/>
      <c r="C23" s="5"/>
      <c r="D23" s="5"/>
      <c r="E23" s="24"/>
      <c r="F23" s="5"/>
      <c r="G23" s="5"/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5"/>
      <c r="B24" s="24"/>
      <c r="C24" s="5"/>
      <c r="D24" s="5"/>
      <c r="E24" s="24"/>
      <c r="F24" s="5"/>
      <c r="G24" s="5"/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5"/>
      <c r="B25" s="24"/>
      <c r="C25" s="5"/>
      <c r="D25" s="5"/>
      <c r="E25" s="24"/>
      <c r="F25" s="5"/>
      <c r="G25" s="5"/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5"/>
      <c r="B26" s="24"/>
      <c r="C26" s="5"/>
      <c r="D26" s="5"/>
      <c r="E26" s="24"/>
      <c r="F26" s="5"/>
      <c r="G26" s="5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5"/>
      <c r="B27" s="24"/>
      <c r="C27" s="5"/>
      <c r="D27" s="5"/>
      <c r="E27" s="24"/>
      <c r="F27" s="5"/>
      <c r="G27" s="5"/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5"/>
      <c r="B28" s="24"/>
      <c r="C28" s="5"/>
      <c r="D28" s="5"/>
      <c r="E28" s="24"/>
      <c r="F28" s="5"/>
      <c r="G28" s="5"/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5"/>
      <c r="B29" s="24"/>
      <c r="C29" s="5"/>
      <c r="D29" s="5"/>
      <c r="E29" s="24"/>
      <c r="F29" s="5"/>
      <c r="G29" s="5"/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5"/>
      <c r="B30" s="24"/>
      <c r="C30" s="5"/>
      <c r="D30" s="5"/>
      <c r="E30" s="24"/>
      <c r="F30" s="5"/>
      <c r="G30" s="5"/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5"/>
      <c r="B31" s="24"/>
      <c r="C31" s="5"/>
      <c r="D31" s="5"/>
      <c r="E31" s="24"/>
      <c r="F31" s="5"/>
      <c r="G31" s="5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5"/>
      <c r="B32" s="24"/>
      <c r="C32" s="5"/>
      <c r="D32" s="5"/>
      <c r="E32" s="24"/>
      <c r="F32" s="5"/>
      <c r="G32" s="5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5"/>
      <c r="B33" s="24"/>
      <c r="C33" s="5"/>
      <c r="D33" s="5"/>
      <c r="E33" s="24"/>
      <c r="F33" s="5"/>
      <c r="G33" s="5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5"/>
      <c r="B34" s="24"/>
      <c r="C34" s="5"/>
      <c r="D34" s="5"/>
      <c r="E34" s="24"/>
      <c r="F34" s="5"/>
      <c r="G34" s="5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5"/>
      <c r="B35" s="24"/>
      <c r="C35" s="5"/>
      <c r="D35" s="5"/>
      <c r="E35" s="24"/>
      <c r="F35" s="5"/>
      <c r="G35" s="5"/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5"/>
      <c r="B36" s="24"/>
      <c r="C36" s="5"/>
      <c r="D36" s="5"/>
      <c r="E36" s="24"/>
      <c r="F36" s="5"/>
      <c r="G36" s="5"/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5"/>
      <c r="B37" s="24"/>
      <c r="C37" s="5"/>
      <c r="D37" s="5"/>
      <c r="E37" s="24"/>
      <c r="F37" s="5"/>
      <c r="G37" s="5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5"/>
      <c r="B38" s="24"/>
      <c r="C38" s="5"/>
      <c r="D38" s="5"/>
      <c r="E38" s="24"/>
      <c r="F38" s="5"/>
      <c r="G38" s="5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5"/>
      <c r="B39" s="24"/>
      <c r="C39" s="5"/>
      <c r="D39" s="5"/>
      <c r="E39" s="24"/>
      <c r="F39" s="5"/>
      <c r="G39" s="5"/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5"/>
      <c r="B40" s="24"/>
      <c r="C40" s="5"/>
      <c r="D40" s="5"/>
      <c r="E40" s="24"/>
      <c r="F40" s="5"/>
      <c r="G40" s="5"/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5"/>
      <c r="B41" s="24"/>
      <c r="C41" s="5"/>
      <c r="D41" s="5"/>
      <c r="E41" s="24"/>
      <c r="F41" s="5"/>
      <c r="G41" s="5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5"/>
      <c r="B42" s="24"/>
      <c r="C42" s="5"/>
      <c r="D42" s="5"/>
      <c r="E42" s="24"/>
      <c r="F42" s="5"/>
      <c r="G42" s="5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5"/>
      <c r="B43" s="24"/>
      <c r="C43" s="5"/>
      <c r="D43" s="5"/>
      <c r="E43" s="24"/>
      <c r="F43" s="5"/>
      <c r="G43" s="5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5"/>
      <c r="B44" s="24"/>
      <c r="C44" s="5"/>
      <c r="D44" s="5"/>
      <c r="E44" s="24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5"/>
      <c r="B45" s="24"/>
      <c r="C45" s="5"/>
      <c r="D45" s="5"/>
      <c r="E45" s="24"/>
      <c r="F45" s="5"/>
      <c r="G45" s="5"/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5"/>
      <c r="B46" s="24"/>
      <c r="C46" s="5"/>
      <c r="D46" s="5"/>
      <c r="E46" s="24"/>
      <c r="F46" s="5"/>
      <c r="G46" s="5"/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5"/>
      <c r="B47" s="24"/>
      <c r="C47" s="5"/>
      <c r="D47" s="5"/>
      <c r="E47" s="24"/>
      <c r="F47" s="5"/>
      <c r="G47" s="5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5"/>
      <c r="B48" s="24"/>
      <c r="C48" s="5"/>
      <c r="D48" s="5"/>
      <c r="E48" s="24"/>
      <c r="F48" s="5"/>
      <c r="G48" s="5"/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5"/>
      <c r="B49" s="24"/>
      <c r="C49" s="5"/>
      <c r="D49" s="5"/>
      <c r="E49" s="24"/>
      <c r="F49" s="5"/>
      <c r="G49" s="5"/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5"/>
      <c r="B50" s="24"/>
      <c r="C50" s="5"/>
      <c r="D50" s="5"/>
      <c r="E50" s="24"/>
      <c r="F50" s="5"/>
      <c r="G50" s="5"/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5"/>
      <c r="B51" s="24"/>
      <c r="C51" s="5"/>
      <c r="D51" s="5"/>
      <c r="E51" s="24"/>
      <c r="F51" s="5"/>
      <c r="G51" s="5"/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5"/>
      <c r="B52" s="24"/>
      <c r="C52" s="5"/>
      <c r="D52" s="5"/>
      <c r="E52" s="24"/>
      <c r="F52" s="5"/>
      <c r="G52" s="5"/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5"/>
      <c r="B53" s="24"/>
      <c r="C53" s="5"/>
      <c r="D53" s="5"/>
      <c r="E53" s="24"/>
      <c r="F53" s="5"/>
      <c r="G53" s="5"/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5"/>
      <c r="B54" s="24"/>
      <c r="C54" s="5"/>
      <c r="D54" s="5"/>
      <c r="E54" s="24"/>
      <c r="F54" s="5"/>
      <c r="G54" s="5"/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5"/>
      <c r="B55" s="24"/>
      <c r="C55" s="5"/>
      <c r="D55" s="5"/>
      <c r="E55" s="24"/>
      <c r="F55" s="5"/>
      <c r="G55" s="5"/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5"/>
      <c r="B56" s="24"/>
      <c r="C56" s="5"/>
      <c r="D56" s="5"/>
      <c r="E56" s="24"/>
      <c r="F56" s="5"/>
      <c r="G56" s="5"/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5"/>
      <c r="B57" s="24"/>
      <c r="C57" s="5"/>
      <c r="D57" s="5"/>
      <c r="E57" s="24"/>
      <c r="F57" s="5"/>
      <c r="G57" s="5"/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5"/>
      <c r="B58" s="24"/>
      <c r="C58" s="5"/>
      <c r="D58" s="5"/>
      <c r="E58" s="24"/>
      <c r="F58" s="5"/>
      <c r="G58" s="5"/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5"/>
      <c r="B59" s="24"/>
      <c r="C59" s="5"/>
      <c r="D59" s="5"/>
      <c r="E59" s="24"/>
      <c r="F59" s="5"/>
      <c r="G59" s="5"/>
      <c r="H59" s="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5"/>
      <c r="B60" s="24"/>
      <c r="C60" s="5"/>
      <c r="D60" s="5"/>
      <c r="E60" s="24"/>
      <c r="F60" s="5"/>
      <c r="G60" s="5"/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5"/>
      <c r="B61" s="24"/>
      <c r="C61" s="5"/>
      <c r="D61" s="5"/>
      <c r="E61" s="24"/>
      <c r="F61" s="5"/>
      <c r="G61" s="5"/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5"/>
      <c r="B62" s="24"/>
      <c r="C62" s="5"/>
      <c r="D62" s="5"/>
      <c r="E62" s="24"/>
      <c r="F62" s="5"/>
      <c r="G62" s="5"/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5"/>
      <c r="B63" s="24"/>
      <c r="C63" s="5"/>
      <c r="D63" s="5"/>
      <c r="E63" s="24"/>
      <c r="F63" s="5"/>
      <c r="G63" s="5"/>
      <c r="H63" s="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5"/>
      <c r="B64" s="24"/>
      <c r="C64" s="5"/>
      <c r="D64" s="5"/>
      <c r="E64" s="24"/>
      <c r="F64" s="5"/>
      <c r="G64" s="5"/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5"/>
      <c r="B65" s="24"/>
      <c r="C65" s="5"/>
      <c r="D65" s="5"/>
      <c r="E65" s="24"/>
      <c r="F65" s="5"/>
      <c r="G65" s="5"/>
      <c r="H65" s="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5"/>
      <c r="B66" s="24"/>
      <c r="C66" s="5"/>
      <c r="D66" s="5"/>
      <c r="E66" s="24"/>
      <c r="F66" s="5"/>
      <c r="G66" s="5"/>
      <c r="H66" s="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5"/>
      <c r="B67" s="24"/>
      <c r="C67" s="5"/>
      <c r="D67" s="5"/>
      <c r="E67" s="24"/>
      <c r="F67" s="5"/>
      <c r="G67" s="5"/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5"/>
      <c r="B68" s="24"/>
      <c r="C68" s="5"/>
      <c r="D68" s="5"/>
      <c r="E68" s="24"/>
      <c r="F68" s="5"/>
      <c r="G68" s="5"/>
      <c r="H68" s="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5"/>
      <c r="B69" s="24"/>
      <c r="C69" s="5"/>
      <c r="D69" s="5"/>
      <c r="E69" s="24"/>
      <c r="F69" s="5"/>
      <c r="G69" s="5"/>
      <c r="H69" s="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5"/>
      <c r="B70" s="24"/>
      <c r="C70" s="5"/>
      <c r="D70" s="5"/>
      <c r="E70" s="24"/>
      <c r="F70" s="5"/>
      <c r="G70" s="5"/>
      <c r="H70" s="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5"/>
      <c r="B71" s="24"/>
      <c r="C71" s="5"/>
      <c r="D71" s="5"/>
      <c r="E71" s="24"/>
      <c r="F71" s="5"/>
      <c r="G71" s="5"/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5"/>
      <c r="B72" s="24"/>
      <c r="C72" s="5"/>
      <c r="D72" s="5"/>
      <c r="E72" s="24"/>
      <c r="F72" s="5"/>
      <c r="G72" s="5"/>
      <c r="H72" s="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5"/>
      <c r="B73" s="24"/>
      <c r="C73" s="5"/>
      <c r="D73" s="5"/>
      <c r="E73" s="24"/>
      <c r="F73" s="5"/>
      <c r="G73" s="5"/>
      <c r="H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5"/>
      <c r="B74" s="24"/>
      <c r="C74" s="5"/>
      <c r="D74" s="5"/>
      <c r="E74" s="24"/>
      <c r="F74" s="5"/>
      <c r="G74" s="5"/>
      <c r="H74" s="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5"/>
      <c r="B75" s="24"/>
      <c r="C75" s="5"/>
      <c r="D75" s="5"/>
      <c r="E75" s="24"/>
      <c r="F75" s="5"/>
      <c r="G75" s="5"/>
      <c r="H75" s="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5"/>
      <c r="B76" s="24"/>
      <c r="C76" s="5"/>
      <c r="D76" s="5"/>
      <c r="E76" s="24"/>
      <c r="F76" s="5"/>
      <c r="G76" s="5"/>
      <c r="H76" s="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5"/>
      <c r="B77" s="24"/>
      <c r="C77" s="5"/>
      <c r="D77" s="5"/>
      <c r="E77" s="24"/>
      <c r="F77" s="5"/>
      <c r="G77" s="5"/>
      <c r="H77" s="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5"/>
      <c r="B78" s="24"/>
      <c r="C78" s="5"/>
      <c r="D78" s="5"/>
      <c r="E78" s="24"/>
      <c r="F78" s="5"/>
      <c r="G78" s="5"/>
      <c r="H78" s="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5"/>
      <c r="B79" s="24"/>
      <c r="C79" s="5"/>
      <c r="D79" s="5"/>
      <c r="E79" s="24"/>
      <c r="F79" s="5"/>
      <c r="G79" s="5"/>
      <c r="H79" s="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5"/>
      <c r="B80" s="24"/>
      <c r="C80" s="5"/>
      <c r="D80" s="5"/>
      <c r="E80" s="24"/>
      <c r="F80" s="5"/>
      <c r="G80" s="5"/>
      <c r="H80" s="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5"/>
      <c r="B81" s="24"/>
      <c r="C81" s="5"/>
      <c r="D81" s="5"/>
      <c r="E81" s="24"/>
      <c r="F81" s="5"/>
      <c r="G81" s="5"/>
      <c r="H81" s="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5"/>
      <c r="B82" s="24"/>
      <c r="C82" s="5"/>
      <c r="D82" s="5"/>
      <c r="E82" s="24"/>
      <c r="F82" s="5"/>
      <c r="G82" s="5"/>
      <c r="H82" s="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5"/>
      <c r="B83" s="24"/>
      <c r="C83" s="5"/>
      <c r="D83" s="5"/>
      <c r="E83" s="24"/>
      <c r="F83" s="5"/>
      <c r="G83" s="5"/>
      <c r="H83" s="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5"/>
      <c r="B84" s="24"/>
      <c r="C84" s="5"/>
      <c r="D84" s="5"/>
      <c r="E84" s="24"/>
      <c r="F84" s="5"/>
      <c r="G84" s="5"/>
      <c r="H84" s="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5"/>
      <c r="B85" s="24"/>
      <c r="C85" s="5"/>
      <c r="D85" s="5"/>
      <c r="E85" s="24"/>
      <c r="F85" s="5"/>
      <c r="G85" s="5"/>
      <c r="H85" s="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5"/>
      <c r="B86" s="24"/>
      <c r="C86" s="5"/>
      <c r="D86" s="5"/>
      <c r="E86" s="24"/>
      <c r="F86" s="5"/>
      <c r="G86" s="5"/>
      <c r="H86" s="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5"/>
      <c r="B87" s="24"/>
      <c r="C87" s="5"/>
      <c r="D87" s="5"/>
      <c r="E87" s="24"/>
      <c r="F87" s="5"/>
      <c r="G87" s="5"/>
      <c r="H87" s="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5"/>
      <c r="B88" s="24"/>
      <c r="C88" s="5"/>
      <c r="D88" s="5"/>
      <c r="E88" s="24"/>
      <c r="F88" s="5"/>
      <c r="G88" s="5"/>
      <c r="H88" s="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5"/>
      <c r="B89" s="24"/>
      <c r="C89" s="5"/>
      <c r="D89" s="5"/>
      <c r="E89" s="24"/>
      <c r="F89" s="5"/>
      <c r="G89" s="5"/>
      <c r="H89" s="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5"/>
      <c r="B90" s="24"/>
      <c r="C90" s="5"/>
      <c r="D90" s="5"/>
      <c r="E90" s="24"/>
      <c r="F90" s="5"/>
      <c r="G90" s="5"/>
      <c r="H90" s="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5"/>
      <c r="B91" s="24"/>
      <c r="C91" s="5"/>
      <c r="D91" s="5"/>
      <c r="E91" s="24"/>
      <c r="F91" s="5"/>
      <c r="G91" s="5"/>
      <c r="H91" s="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5"/>
      <c r="B92" s="24"/>
      <c r="C92" s="5"/>
      <c r="D92" s="5"/>
      <c r="E92" s="24"/>
      <c r="F92" s="5"/>
      <c r="G92" s="5"/>
      <c r="H92" s="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5"/>
      <c r="B93" s="24"/>
      <c r="C93" s="5"/>
      <c r="D93" s="5"/>
      <c r="E93" s="24"/>
      <c r="F93" s="5"/>
      <c r="G93" s="5"/>
      <c r="H93" s="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5"/>
      <c r="B94" s="24"/>
      <c r="C94" s="5"/>
      <c r="D94" s="5"/>
      <c r="E94" s="24"/>
      <c r="F94" s="5"/>
      <c r="G94" s="5"/>
      <c r="H94" s="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5"/>
      <c r="B95" s="24"/>
      <c r="C95" s="5"/>
      <c r="D95" s="5"/>
      <c r="E95" s="24"/>
      <c r="F95" s="5"/>
      <c r="G95" s="5"/>
      <c r="H95" s="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5"/>
      <c r="B96" s="24"/>
      <c r="C96" s="5"/>
      <c r="D96" s="5"/>
      <c r="E96" s="24"/>
      <c r="F96" s="5"/>
      <c r="G96" s="5"/>
      <c r="H96" s="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5"/>
      <c r="B97" s="24"/>
      <c r="C97" s="5"/>
      <c r="D97" s="5"/>
      <c r="E97" s="24"/>
      <c r="F97" s="5"/>
      <c r="G97" s="5"/>
      <c r="H97" s="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5"/>
      <c r="B98" s="24"/>
      <c r="C98" s="5"/>
      <c r="D98" s="5"/>
      <c r="E98" s="24"/>
      <c r="F98" s="5"/>
      <c r="G98" s="5"/>
      <c r="H98" s="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5"/>
      <c r="B99" s="24"/>
      <c r="C99" s="5"/>
      <c r="D99" s="5"/>
      <c r="E99" s="24"/>
      <c r="F99" s="5"/>
      <c r="G99" s="5"/>
      <c r="H99" s="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5"/>
      <c r="B100" s="24"/>
      <c r="C100" s="5"/>
      <c r="D100" s="5"/>
      <c r="E100" s="24"/>
      <c r="F100" s="5"/>
      <c r="G100" s="5"/>
      <c r="H100" s="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5"/>
      <c r="B101" s="24"/>
      <c r="C101" s="5"/>
      <c r="D101" s="5"/>
      <c r="E101" s="24"/>
      <c r="F101" s="5"/>
      <c r="G101" s="5"/>
      <c r="H101" s="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5"/>
      <c r="B102" s="24"/>
      <c r="C102" s="5"/>
      <c r="D102" s="5"/>
      <c r="E102" s="24"/>
      <c r="F102" s="5"/>
      <c r="G102" s="5"/>
      <c r="H102" s="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5"/>
      <c r="B103" s="24"/>
      <c r="C103" s="5"/>
      <c r="D103" s="5"/>
      <c r="E103" s="24"/>
      <c r="F103" s="5"/>
      <c r="G103" s="5"/>
      <c r="H103" s="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5"/>
      <c r="B104" s="24"/>
      <c r="C104" s="5"/>
      <c r="D104" s="5"/>
      <c r="E104" s="24"/>
      <c r="F104" s="5"/>
      <c r="G104" s="5"/>
      <c r="H104" s="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5"/>
      <c r="B105" s="24"/>
      <c r="C105" s="5"/>
      <c r="D105" s="5"/>
      <c r="E105" s="24"/>
      <c r="F105" s="5"/>
      <c r="G105" s="5"/>
      <c r="H105" s="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5"/>
      <c r="B106" s="24"/>
      <c r="C106" s="5"/>
      <c r="D106" s="5"/>
      <c r="E106" s="24"/>
      <c r="F106" s="5"/>
      <c r="G106" s="5"/>
      <c r="H106" s="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5"/>
      <c r="B107" s="24"/>
      <c r="C107" s="5"/>
      <c r="D107" s="5"/>
      <c r="E107" s="24"/>
      <c r="F107" s="5"/>
      <c r="G107" s="5"/>
      <c r="H107" s="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5"/>
      <c r="B108" s="24"/>
      <c r="C108" s="5"/>
      <c r="D108" s="5"/>
      <c r="E108" s="24"/>
      <c r="F108" s="5"/>
      <c r="G108" s="5"/>
      <c r="H108" s="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5"/>
      <c r="B109" s="24"/>
      <c r="C109" s="5"/>
      <c r="D109" s="5"/>
      <c r="E109" s="24"/>
      <c r="F109" s="5"/>
      <c r="G109" s="5"/>
      <c r="H109" s="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5"/>
      <c r="B110" s="24"/>
      <c r="C110" s="5"/>
      <c r="D110" s="5"/>
      <c r="E110" s="24"/>
      <c r="F110" s="5"/>
      <c r="G110" s="5"/>
      <c r="H110" s="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5"/>
      <c r="B111" s="24"/>
      <c r="C111" s="5"/>
      <c r="D111" s="5"/>
      <c r="E111" s="24"/>
      <c r="F111" s="5"/>
      <c r="G111" s="5"/>
      <c r="H111" s="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5"/>
      <c r="B112" s="24"/>
      <c r="C112" s="5"/>
      <c r="D112" s="5"/>
      <c r="E112" s="24"/>
      <c r="F112" s="5"/>
      <c r="G112" s="5"/>
      <c r="H112" s="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5"/>
      <c r="B113" s="24"/>
      <c r="C113" s="5"/>
      <c r="D113" s="5"/>
      <c r="E113" s="24"/>
      <c r="F113" s="5"/>
      <c r="G113" s="5"/>
      <c r="H113" s="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5"/>
      <c r="B114" s="24"/>
      <c r="C114" s="5"/>
      <c r="D114" s="5"/>
      <c r="E114" s="24"/>
      <c r="F114" s="5"/>
      <c r="G114" s="5"/>
      <c r="H114" s="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5"/>
      <c r="B115" s="24"/>
      <c r="C115" s="5"/>
      <c r="D115" s="5"/>
      <c r="E115" s="24"/>
      <c r="F115" s="5"/>
      <c r="G115" s="5"/>
      <c r="H115" s="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5"/>
      <c r="B116" s="24"/>
      <c r="C116" s="5"/>
      <c r="D116" s="5"/>
      <c r="E116" s="24"/>
      <c r="F116" s="5"/>
      <c r="G116" s="5"/>
      <c r="H116" s="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5"/>
      <c r="B117" s="24"/>
      <c r="C117" s="5"/>
      <c r="D117" s="5"/>
      <c r="E117" s="24"/>
      <c r="F117" s="5"/>
      <c r="G117" s="5"/>
      <c r="H117" s="5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5"/>
      <c r="B118" s="24"/>
      <c r="C118" s="5"/>
      <c r="D118" s="5"/>
      <c r="E118" s="24"/>
      <c r="F118" s="5"/>
      <c r="G118" s="5"/>
      <c r="H118" s="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5"/>
      <c r="B119" s="24"/>
      <c r="C119" s="5"/>
      <c r="D119" s="5"/>
      <c r="E119" s="24"/>
      <c r="F119" s="5"/>
      <c r="G119" s="5"/>
      <c r="H119" s="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5"/>
      <c r="B120" s="24"/>
      <c r="C120" s="5"/>
      <c r="D120" s="5"/>
      <c r="E120" s="24"/>
      <c r="F120" s="5"/>
      <c r="G120" s="5"/>
      <c r="H120" s="5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F1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.5"/>
    <col customWidth="1" min="2" max="2" width="24.75"/>
    <col customWidth="1" min="3" max="3" width="26.13"/>
    <col customWidth="1" min="4" max="13" width="7.25"/>
    <col customWidth="1" min="14" max="26" width="13.25"/>
  </cols>
  <sheetData>
    <row r="1">
      <c r="A1" s="5"/>
      <c r="B1" s="24" t="s">
        <v>141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5"/>
      <c r="B3" s="104" t="s">
        <v>142</v>
      </c>
      <c r="C3" s="104" t="s">
        <v>143</v>
      </c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5"/>
      <c r="B4" s="101" t="s">
        <v>144</v>
      </c>
      <c r="C4" s="106" t="str">
        <f>'GANACIAS Y PÉRDIDAS'!C3</f>
        <v>  32,700,000   </v>
      </c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5"/>
      <c r="B5" s="101" t="s">
        <v>145</v>
      </c>
      <c r="C5" s="106" t="str">
        <f>'GANACIAS Y PÉRDIDAS'!C4+'GANACIAS Y PÉRDIDAS'!C6</f>
        <v>  17,153,340   </v>
      </c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5"/>
      <c r="B6" s="101" t="s">
        <v>64</v>
      </c>
      <c r="C6" s="106" t="str">
        <f>C4-C5</f>
        <v>  15,546,660   </v>
      </c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5"/>
      <c r="B7" s="101" t="s">
        <v>146</v>
      </c>
      <c r="C7" s="106" t="str">
        <f>'GANACIAS Y PÉRDIDAS'!C11</f>
        <v>  4,016,428   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5"/>
      <c r="B8" s="107" t="s">
        <v>147</v>
      </c>
      <c r="C8" s="108" t="str">
        <f>C6-C7</f>
        <v>  11,530,232   </v>
      </c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5"/>
      <c r="B9" s="107" t="s">
        <v>148</v>
      </c>
      <c r="C9" s="108" t="str">
        <f>C8</f>
        <v>  11,530,232   </v>
      </c>
      <c r="D9" s="5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5"/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5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5"/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5"/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5"/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5"/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5"/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5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5"/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5"/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B1:C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3.88"/>
    <col customWidth="1" min="2" max="2" width="7.25"/>
    <col customWidth="1" min="3" max="3" width="11.25"/>
    <col customWidth="1" min="4" max="4" width="12.13"/>
    <col customWidth="1" min="5" max="5" width="13.63"/>
    <col customWidth="1" min="6" max="6" width="7.25"/>
    <col customWidth="1" min="7" max="7" width="10.25"/>
    <col customWidth="1" min="8" max="17" width="7.25"/>
    <col customWidth="1" min="18" max="26" width="13.25"/>
  </cols>
  <sheetData>
    <row r="1" ht="15.75" customHeight="1">
      <c r="A1" s="25" t="s">
        <v>22</v>
      </c>
      <c r="B1" s="26"/>
      <c r="C1" s="26"/>
      <c r="D1" s="26"/>
      <c r="E1" s="26"/>
      <c r="F1" s="26"/>
      <c r="G1" s="27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75" customHeight="1">
      <c r="A2" s="28" t="s">
        <v>23</v>
      </c>
      <c r="B2" s="10" t="s">
        <v>24</v>
      </c>
      <c r="C2" s="10" t="s">
        <v>25</v>
      </c>
      <c r="D2" s="10" t="s">
        <v>26</v>
      </c>
      <c r="E2" s="10" t="s">
        <v>27</v>
      </c>
      <c r="F2" s="10" t="s">
        <v>28</v>
      </c>
      <c r="G2" s="10" t="s">
        <v>29</v>
      </c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75" customHeight="1">
      <c r="A3" s="28" t="s">
        <v>30</v>
      </c>
      <c r="B3" s="10">
        <v>1.0</v>
      </c>
      <c r="C3" s="29">
        <v>1.586E7</v>
      </c>
      <c r="D3" s="29" t="str">
        <f t="shared" ref="D3:D9" si="1">SUM(C3*F3)</f>
        <v>$14,274,000</v>
      </c>
      <c r="E3" s="29" t="str">
        <f t="shared" ref="E3:E9" si="2">SUM(C3*G3)</f>
        <v>$1,586,000</v>
      </c>
      <c r="F3" s="30">
        <v>0.9</v>
      </c>
      <c r="G3" s="30">
        <v>0.1</v>
      </c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75" customHeight="1">
      <c r="A4" s="31" t="s">
        <v>31</v>
      </c>
      <c r="B4" s="17">
        <v>12.0</v>
      </c>
      <c r="C4" s="32">
        <v>200000.0</v>
      </c>
      <c r="D4" s="29" t="str">
        <f t="shared" si="1"/>
        <v>$180,000</v>
      </c>
      <c r="E4" s="29" t="str">
        <f t="shared" si="2"/>
        <v>$20,000</v>
      </c>
      <c r="F4" s="33">
        <v>0.9</v>
      </c>
      <c r="G4" s="33">
        <v>0.1</v>
      </c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75" customHeight="1">
      <c r="A5" s="34" t="s">
        <v>32</v>
      </c>
      <c r="B5" s="35">
        <v>12.0</v>
      </c>
      <c r="C5" s="36">
        <v>15000.0</v>
      </c>
      <c r="D5" s="29" t="str">
        <f t="shared" si="1"/>
        <v>$13,500</v>
      </c>
      <c r="E5" s="29" t="str">
        <f t="shared" si="2"/>
        <v>$1,500</v>
      </c>
      <c r="F5" s="37">
        <v>0.9</v>
      </c>
      <c r="G5" s="37">
        <v>0.1</v>
      </c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75" customHeight="1">
      <c r="A6" s="28" t="s">
        <v>33</v>
      </c>
      <c r="B6" s="10">
        <v>12.0</v>
      </c>
      <c r="C6" s="29">
        <v>25000.0</v>
      </c>
      <c r="D6" s="29" t="str">
        <f t="shared" si="1"/>
        <v>$22,500</v>
      </c>
      <c r="E6" s="29" t="str">
        <f t="shared" si="2"/>
        <v>$2,500</v>
      </c>
      <c r="F6" s="30">
        <v>0.9</v>
      </c>
      <c r="G6" s="30">
        <v>0.1</v>
      </c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75" customHeight="1">
      <c r="A7" s="28" t="s">
        <v>34</v>
      </c>
      <c r="B7" s="10">
        <v>12.0</v>
      </c>
      <c r="C7" s="29">
        <v>30000.0</v>
      </c>
      <c r="D7" s="29" t="str">
        <f t="shared" si="1"/>
        <v>$21,000</v>
      </c>
      <c r="E7" s="29" t="str">
        <f t="shared" si="2"/>
        <v>$9,000</v>
      </c>
      <c r="F7" s="30">
        <v>0.7</v>
      </c>
      <c r="G7" s="30">
        <v>0.3</v>
      </c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9.25" customHeight="1">
      <c r="A8" s="38" t="s">
        <v>35</v>
      </c>
      <c r="B8" s="10">
        <v>500.0</v>
      </c>
      <c r="C8" s="29" t="str">
        <f>'COSTOS DE PRODUCCION Y OTROS'!B15</f>
        <v>$7,497</v>
      </c>
      <c r="D8" s="29" t="str">
        <f t="shared" si="1"/>
        <v>$7,497</v>
      </c>
      <c r="E8" s="29" t="str">
        <f t="shared" si="2"/>
        <v>$0</v>
      </c>
      <c r="F8" s="30">
        <v>1.0</v>
      </c>
      <c r="G8" s="10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75" customHeight="1">
      <c r="A9" s="28" t="s">
        <v>36</v>
      </c>
      <c r="B9" s="10">
        <v>1.0</v>
      </c>
      <c r="C9" s="29" t="str">
        <f>PERSONAL!F5</f>
        <v>$240,000</v>
      </c>
      <c r="D9" s="29" t="str">
        <f t="shared" si="1"/>
        <v>$14,400</v>
      </c>
      <c r="E9" s="29" t="str">
        <f t="shared" si="2"/>
        <v>$225,600</v>
      </c>
      <c r="F9" s="30">
        <v>0.06</v>
      </c>
      <c r="G9" s="30">
        <v>0.94</v>
      </c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75" customHeight="1">
      <c r="A10" s="9" t="s">
        <v>21</v>
      </c>
      <c r="B10" s="12"/>
      <c r="C10" s="29" t="str">
        <f>SUM(C4:C9)-C8</f>
        <v>$510,000</v>
      </c>
      <c r="D10" s="29" t="str">
        <f t="shared" ref="D10:E10" si="3">SUM(D3:D9)</f>
        <v>$14,532,897</v>
      </c>
      <c r="E10" s="29" t="str">
        <f t="shared" si="3"/>
        <v>$1,844,600</v>
      </c>
      <c r="F10" s="12"/>
      <c r="G10" s="12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5"/>
      <c r="B11" s="5"/>
      <c r="C11" s="5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5"/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5"/>
      <c r="B13" s="5"/>
      <c r="C13" s="39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5"/>
      <c r="B14" s="5"/>
      <c r="C14" s="40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5"/>
      <c r="B15" s="5"/>
      <c r="C15" s="5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5"/>
      <c r="B16" s="5"/>
      <c r="C16" s="41"/>
      <c r="D16" s="41"/>
      <c r="E16" s="5"/>
      <c r="F16" s="5"/>
      <c r="G16" s="5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5"/>
      <c r="B17" s="5"/>
      <c r="C17" s="5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5"/>
      <c r="B18" s="5"/>
      <c r="C18" s="5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5"/>
      <c r="B19" s="5"/>
      <c r="C19" s="5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5"/>
      <c r="B20" s="5"/>
      <c r="C20" s="5"/>
      <c r="D20" s="5"/>
      <c r="E20" s="5"/>
      <c r="F20" s="5"/>
      <c r="G20" s="5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5"/>
      <c r="B21" s="5"/>
      <c r="C21" s="5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5"/>
      <c r="B22" s="5"/>
      <c r="C22" s="5"/>
      <c r="D22" s="5"/>
      <c r="E22" s="5"/>
      <c r="F22" s="5"/>
      <c r="G22" s="5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G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8.0"/>
    <col customWidth="1" min="2" max="2" width="14.38"/>
    <col customWidth="1" min="3" max="3" width="13.63"/>
    <col customWidth="1" min="4" max="4" width="14.5"/>
    <col customWidth="1" min="5" max="5" width="14.63"/>
    <col customWidth="1" min="6" max="6" width="13.75"/>
    <col customWidth="1" min="7" max="7" width="16.25"/>
    <col customWidth="1" min="8" max="17" width="7.25"/>
    <col customWidth="1" min="18" max="26" width="13.25"/>
  </cols>
  <sheetData>
    <row r="1" ht="15.75" customHeight="1">
      <c r="A1" s="42" t="s">
        <v>37</v>
      </c>
      <c r="B1" s="26"/>
      <c r="C1" s="26"/>
      <c r="D1" s="26"/>
      <c r="E1" s="26"/>
      <c r="F1" s="26"/>
      <c r="G1" s="27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75" customHeight="1">
      <c r="A2" s="7" t="s">
        <v>38</v>
      </c>
      <c r="B2" s="8" t="s">
        <v>39</v>
      </c>
      <c r="C2" s="8" t="s">
        <v>40</v>
      </c>
      <c r="D2" s="8" t="s">
        <v>41</v>
      </c>
      <c r="E2" s="8" t="s">
        <v>42</v>
      </c>
      <c r="F2" s="8" t="s">
        <v>43</v>
      </c>
      <c r="G2" s="43" t="s">
        <v>3</v>
      </c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9.25" customHeight="1">
      <c r="A3" s="9" t="s">
        <v>44</v>
      </c>
      <c r="B3" s="12">
        <v>1.0</v>
      </c>
      <c r="C3" s="11">
        <v>720000.0</v>
      </c>
      <c r="D3" s="12">
        <v>8.0</v>
      </c>
      <c r="E3" s="11">
        <v>10000.0</v>
      </c>
      <c r="F3" s="15" t="str">
        <f t="shared" ref="F3:F4" si="1">SUM(D3*E3)</f>
        <v>$80,000</v>
      </c>
      <c r="G3" s="44" t="s">
        <v>45</v>
      </c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75" customHeight="1">
      <c r="A4" s="9" t="s">
        <v>46</v>
      </c>
      <c r="B4" s="12">
        <v>1.0</v>
      </c>
      <c r="C4" s="45">
        <v>160000.0</v>
      </c>
      <c r="D4" s="12">
        <v>8.0</v>
      </c>
      <c r="E4" s="11">
        <v>20000.0</v>
      </c>
      <c r="F4" s="11" t="str">
        <f t="shared" si="1"/>
        <v>$160,000</v>
      </c>
      <c r="G4" s="12" t="s">
        <v>47</v>
      </c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75" customHeight="1">
      <c r="A5" s="21" t="s">
        <v>48</v>
      </c>
      <c r="B5" s="46"/>
      <c r="C5" s="46"/>
      <c r="D5" s="46"/>
      <c r="E5" s="46"/>
      <c r="F5" s="11" t="str">
        <f>SUM(F3:F4)</f>
        <v>$240,000</v>
      </c>
      <c r="G5" s="47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5"/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5"/>
      <c r="B7" s="5"/>
      <c r="C7" s="5"/>
      <c r="D7" s="5"/>
      <c r="E7" s="5"/>
      <c r="F7" s="5"/>
      <c r="G7" s="5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5"/>
      <c r="B8" s="5"/>
      <c r="C8" s="5"/>
      <c r="D8" s="5"/>
      <c r="E8" s="5"/>
      <c r="F8" s="5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5"/>
      <c r="B9" s="5"/>
      <c r="C9" s="5"/>
      <c r="D9" s="5"/>
      <c r="E9" s="5"/>
      <c r="F9" s="5"/>
      <c r="G9" s="5"/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5"/>
      <c r="B10" s="5"/>
      <c r="C10" s="5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5"/>
      <c r="B11" s="5"/>
      <c r="C11" s="5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5"/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5"/>
      <c r="B13" s="5"/>
      <c r="C13" s="5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5"/>
      <c r="B14" s="5"/>
      <c r="C14" s="5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5"/>
      <c r="B15" s="5"/>
      <c r="C15" s="5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5"/>
      <c r="B16" s="5"/>
      <c r="C16" s="5"/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5"/>
      <c r="B17" s="5"/>
      <c r="C17" s="5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5"/>
      <c r="B18" s="5"/>
      <c r="C18" s="5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5"/>
      <c r="B19" s="5"/>
      <c r="C19" s="5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5"/>
      <c r="B20" s="5"/>
      <c r="C20" s="5"/>
      <c r="D20" s="5"/>
      <c r="E20" s="5"/>
      <c r="F20" s="5"/>
      <c r="G20" s="5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5"/>
      <c r="B21" s="5"/>
      <c r="C21" s="5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5"/>
      <c r="B22" s="5"/>
      <c r="C22" s="5"/>
      <c r="D22" s="5"/>
      <c r="E22" s="5"/>
      <c r="F22" s="5"/>
      <c r="G22" s="5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G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" width="7.25"/>
    <col customWidth="1" min="3" max="3" width="11.5"/>
    <col customWidth="1" min="4" max="4" width="9.75"/>
    <col customWidth="1" min="5" max="5" width="7.25"/>
    <col customWidth="1" min="6" max="6" width="11.25"/>
    <col customWidth="1" min="7" max="16" width="7.25"/>
    <col customWidth="1" min="17" max="26" width="13.25"/>
  </cols>
  <sheetData>
    <row r="1" ht="15.75" customHeight="1">
      <c r="A1" s="24" t="s">
        <v>49</v>
      </c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75" customHeight="1">
      <c r="A2" s="48"/>
      <c r="B2" s="34" t="s">
        <v>50</v>
      </c>
      <c r="C2" s="35" t="s">
        <v>51</v>
      </c>
      <c r="D2" s="35" t="s">
        <v>52</v>
      </c>
      <c r="E2" s="35" t="s">
        <v>53</v>
      </c>
      <c r="F2" s="35" t="s">
        <v>54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57.75" customHeight="1">
      <c r="A3" s="49" t="s">
        <v>55</v>
      </c>
      <c r="B3" s="9">
        <v>500.0</v>
      </c>
      <c r="C3" s="11">
        <v>15000.0</v>
      </c>
      <c r="D3" s="11" t="str">
        <f>SUM(B3*C3)</f>
        <v>$7,500,000</v>
      </c>
      <c r="E3" s="11">
        <v>7350.0</v>
      </c>
      <c r="F3" s="11">
        <v>160000.0</v>
      </c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5"/>
      <c r="B7" s="5"/>
      <c r="C7" s="5"/>
      <c r="D7" s="5"/>
      <c r="E7" s="5"/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5"/>
      <c r="B9" s="5"/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5"/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5"/>
      <c r="B11" s="5"/>
      <c r="C11" s="5"/>
      <c r="D11" s="5"/>
      <c r="E11" s="5"/>
      <c r="F11" s="5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5"/>
      <c r="B12" s="5"/>
      <c r="C12" s="5"/>
      <c r="D12" s="5"/>
      <c r="E12" s="5"/>
      <c r="F12" s="5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5"/>
      <c r="B13" s="5"/>
      <c r="C13" s="5"/>
      <c r="D13" s="5"/>
      <c r="E13" s="5"/>
      <c r="F13" s="5"/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5"/>
      <c r="B14" s="5"/>
      <c r="C14" s="5"/>
      <c r="D14" s="5"/>
      <c r="E14" s="5"/>
      <c r="F14" s="5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5"/>
      <c r="B15" s="5"/>
      <c r="C15" s="5"/>
      <c r="D15" s="5"/>
      <c r="E15" s="5"/>
      <c r="F15" s="5"/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5"/>
      <c r="B16" s="5"/>
      <c r="C16" s="5"/>
      <c r="D16" s="5"/>
      <c r="E16" s="5"/>
      <c r="F16" s="5"/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5"/>
      <c r="B17" s="5"/>
      <c r="C17" s="5"/>
      <c r="D17" s="5"/>
      <c r="E17" s="5"/>
      <c r="F17" s="5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5"/>
      <c r="B18" s="5"/>
      <c r="C18" s="5"/>
      <c r="D18" s="5"/>
      <c r="E18" s="5"/>
      <c r="F18" s="5"/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5"/>
      <c r="B19" s="5"/>
      <c r="C19" s="5"/>
      <c r="D19" s="5"/>
      <c r="E19" s="5"/>
      <c r="F19" s="5"/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5"/>
      <c r="B20" s="5"/>
      <c r="C20" s="5"/>
      <c r="D20" s="5"/>
      <c r="E20" s="5"/>
      <c r="F20" s="5"/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5"/>
      <c r="B21" s="5"/>
      <c r="C21" s="5"/>
      <c r="D21" s="5"/>
      <c r="E21" s="5"/>
      <c r="F21" s="5"/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5"/>
      <c r="B22" s="5"/>
      <c r="C22" s="5"/>
      <c r="D22" s="5"/>
      <c r="E22" s="5"/>
      <c r="F22" s="5"/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F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.38"/>
    <col customWidth="1" min="2" max="2" width="24.5"/>
    <col customWidth="1" min="3" max="3" width="17.0"/>
    <col customWidth="1" min="4" max="13" width="7.25"/>
    <col customWidth="1" min="14" max="26" width="13.25"/>
  </cols>
  <sheetData>
    <row r="1" ht="15.75" customHeight="1">
      <c r="A1" s="5"/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75" customHeight="1">
      <c r="A2" s="5"/>
      <c r="B2" s="50" t="s">
        <v>56</v>
      </c>
      <c r="C2" s="3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75" customHeight="1">
      <c r="A3" s="5"/>
      <c r="B3" s="16" t="s">
        <v>57</v>
      </c>
      <c r="C3" s="51" t="str">
        <f>'PROYECCION DE VENTAS'!C18</f>
        <v>$32,700,000</v>
      </c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75" customHeight="1">
      <c r="A4" s="5"/>
      <c r="B4" s="9" t="s">
        <v>58</v>
      </c>
      <c r="C4" s="11" t="str">
        <f>'COSTOS DE PRODUCCION Y OTROS'!B16</f>
        <v>$16,643,340</v>
      </c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75" customHeight="1">
      <c r="A5" s="5"/>
      <c r="B5" s="52" t="s">
        <v>59</v>
      </c>
      <c r="C5" s="53" t="str">
        <f>C3-C4</f>
        <v>$16,056,660</v>
      </c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75" customHeight="1">
      <c r="A6" s="5"/>
      <c r="B6" s="9" t="s">
        <v>60</v>
      </c>
      <c r="C6" s="11" t="str">
        <f>'GASTOS INICIALES'!C10</f>
        <v>$510,000</v>
      </c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75" customHeight="1">
      <c r="A7" s="5"/>
      <c r="B7" s="52" t="s">
        <v>61</v>
      </c>
      <c r="C7" s="53" t="str">
        <f>C5-C6</f>
        <v>$15,546,660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75" customHeight="1">
      <c r="A8" s="5"/>
      <c r="B8" s="16" t="s">
        <v>62</v>
      </c>
      <c r="C8" s="11">
        <v>0.0</v>
      </c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75" customHeight="1">
      <c r="A9" s="5"/>
      <c r="B9" s="16" t="s">
        <v>63</v>
      </c>
      <c r="C9" s="54" t="str">
        <f>SUM('PRÉSTAMO'!D9:D20)</f>
        <v>  3,375,666   </v>
      </c>
      <c r="D9" s="5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75" customHeight="1">
      <c r="A10" s="5"/>
      <c r="B10" s="52" t="s">
        <v>64</v>
      </c>
      <c r="C10" s="55" t="str">
        <f>C7-C8-C9</f>
        <v>$12,170,994</v>
      </c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5.75" customHeight="1">
      <c r="A11" s="5"/>
      <c r="B11" s="9" t="s">
        <v>65</v>
      </c>
      <c r="C11" s="56" t="str">
        <f>C10*0.33</f>
        <v>$4,016,428</v>
      </c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5.75" customHeight="1">
      <c r="A12" s="5"/>
      <c r="B12" s="52" t="s">
        <v>66</v>
      </c>
      <c r="C12" s="55" t="str">
        <f>C10-C11</f>
        <v>$8,154,566</v>
      </c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5.75" customHeight="1">
      <c r="A13" s="5"/>
      <c r="B13" s="9" t="s">
        <v>67</v>
      </c>
      <c r="C13" s="56" t="str">
        <f>C12*0.1</f>
        <v>$815,457</v>
      </c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5.75" customHeight="1">
      <c r="A14" s="5"/>
      <c r="B14" s="52" t="s">
        <v>68</v>
      </c>
      <c r="C14" s="55" t="str">
        <f>C12-C13</f>
        <v>$7,339,109</v>
      </c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5"/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5"/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5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5"/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5"/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5"/>
      <c r="B22" s="5"/>
      <c r="C22" s="5"/>
      <c r="D22" s="5"/>
      <c r="E22" s="5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B2:C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9.38"/>
    <col customWidth="1" min="2" max="2" width="14.25"/>
    <col customWidth="1" min="3" max="3" width="29.13"/>
    <col customWidth="1" min="4" max="4" width="14.0"/>
    <col customWidth="1" min="5" max="14" width="7.25"/>
    <col customWidth="1" min="15" max="26" width="13.25"/>
  </cols>
  <sheetData>
    <row r="1" ht="15.75" customHeight="1">
      <c r="A1" s="6"/>
      <c r="B1" s="57" t="s">
        <v>69</v>
      </c>
      <c r="C1" s="58" t="s">
        <v>70</v>
      </c>
      <c r="D1" s="58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9.25" customHeight="1">
      <c r="A2" s="59" t="s">
        <v>71</v>
      </c>
      <c r="B2" s="12"/>
      <c r="C2" s="60" t="s">
        <v>72</v>
      </c>
      <c r="D2" s="12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9.25" customHeight="1">
      <c r="A3" s="9" t="s">
        <v>73</v>
      </c>
      <c r="B3" s="11">
        <v>3825000.0</v>
      </c>
      <c r="C3" s="12" t="s">
        <v>74</v>
      </c>
      <c r="D3" s="11">
        <v>3675000.0</v>
      </c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75" customHeight="1">
      <c r="A4" s="9" t="s">
        <v>75</v>
      </c>
      <c r="B4" s="12"/>
      <c r="C4" s="12" t="s">
        <v>76</v>
      </c>
      <c r="D4" s="12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75" customHeight="1">
      <c r="A5" s="9" t="s">
        <v>77</v>
      </c>
      <c r="B5" s="11">
        <v>3675000.0</v>
      </c>
      <c r="C5" s="12" t="s">
        <v>78</v>
      </c>
      <c r="D5" s="11">
        <v>880000.0</v>
      </c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29.25" customHeight="1">
      <c r="A6" s="9" t="s">
        <v>79</v>
      </c>
      <c r="B6" s="12"/>
      <c r="C6" s="12" t="s">
        <v>80</v>
      </c>
      <c r="D6" s="11">
        <v>471200.0</v>
      </c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75" customHeight="1">
      <c r="A7" s="61" t="s">
        <v>81</v>
      </c>
      <c r="B7" s="11">
        <v>7500000.0</v>
      </c>
      <c r="C7" s="62" t="s">
        <v>82</v>
      </c>
      <c r="D7" s="11">
        <v>5026200.0</v>
      </c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9.25" customHeight="1">
      <c r="A8" s="59" t="s">
        <v>83</v>
      </c>
      <c r="B8" s="12"/>
      <c r="C8" s="60" t="s">
        <v>84</v>
      </c>
      <c r="D8" s="12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9.25" customHeight="1">
      <c r="A9" s="9" t="s">
        <v>0</v>
      </c>
      <c r="B9" s="11">
        <v>1.586E7</v>
      </c>
      <c r="C9" s="12" t="s">
        <v>85</v>
      </c>
      <c r="D9" s="12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75" customHeight="1">
      <c r="A10" s="9" t="s">
        <v>86</v>
      </c>
      <c r="B10" s="12">
        <v>0.5</v>
      </c>
      <c r="C10" s="62" t="s">
        <v>87</v>
      </c>
      <c r="D10" s="12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9.25" customHeight="1">
      <c r="A11" s="9" t="s">
        <v>88</v>
      </c>
      <c r="B11" s="11">
        <v>7930000.0</v>
      </c>
      <c r="C11" s="62" t="s">
        <v>89</v>
      </c>
      <c r="D11" s="11">
        <v>5026200.0</v>
      </c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5.75" customHeight="1">
      <c r="A12" s="61" t="s">
        <v>90</v>
      </c>
      <c r="B12" s="11">
        <v>7930000.0</v>
      </c>
      <c r="C12" s="60" t="s">
        <v>91</v>
      </c>
      <c r="D12" s="12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5.75" customHeight="1">
      <c r="A13" s="9"/>
      <c r="B13" s="12"/>
      <c r="C13" s="12" t="s">
        <v>92</v>
      </c>
      <c r="D13" s="11">
        <v>7930000.0</v>
      </c>
      <c r="E13" s="5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43.5" customHeight="1">
      <c r="A14" s="9"/>
      <c r="B14" s="12"/>
      <c r="C14" s="12" t="s">
        <v>93</v>
      </c>
      <c r="D14" s="11">
        <v>2473800.0</v>
      </c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5.75" customHeight="1">
      <c r="A15" s="9"/>
      <c r="B15" s="12"/>
      <c r="C15" s="62" t="s">
        <v>94</v>
      </c>
      <c r="D15" s="11">
        <v>1.04038E7</v>
      </c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75" customHeight="1">
      <c r="A16" s="61" t="s">
        <v>95</v>
      </c>
      <c r="B16" s="11">
        <v>1.543E7</v>
      </c>
      <c r="C16" s="62" t="s">
        <v>96</v>
      </c>
      <c r="D16" s="11">
        <v>1.543E7</v>
      </c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5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5"/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5"/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5"/>
      <c r="B22" s="5"/>
      <c r="C22" s="5"/>
      <c r="D22" s="5"/>
      <c r="E22" s="5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9.88"/>
    <col customWidth="1" min="2" max="2" width="14.63"/>
    <col customWidth="1" min="3" max="3" width="14.0"/>
    <col customWidth="1" min="4" max="4" width="14.25"/>
    <col customWidth="1" min="5" max="5" width="14.5"/>
    <col customWidth="1" min="6" max="6" width="15.0"/>
    <col customWidth="1" min="7" max="16" width="7.25"/>
    <col customWidth="1" min="17" max="26" width="13.25"/>
  </cols>
  <sheetData>
    <row r="1" ht="15.75" customHeight="1">
      <c r="A1" s="63" t="s">
        <v>97</v>
      </c>
      <c r="B1" s="2"/>
      <c r="C1" s="2"/>
      <c r="D1" s="2"/>
      <c r="E1" s="3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75" customHeight="1">
      <c r="A2" s="64" t="s">
        <v>98</v>
      </c>
      <c r="B2" s="65" t="s">
        <v>99</v>
      </c>
      <c r="C2" s="65" t="s">
        <v>100</v>
      </c>
      <c r="D2" s="65" t="s">
        <v>101</v>
      </c>
      <c r="E2" s="65" t="s">
        <v>102</v>
      </c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75" customHeight="1">
      <c r="A3" s="66">
        <v>0.02</v>
      </c>
      <c r="B3" s="67">
        <v>0.02</v>
      </c>
      <c r="C3" s="67">
        <v>0.025</v>
      </c>
      <c r="D3" s="67">
        <v>0.025</v>
      </c>
      <c r="E3" s="67">
        <v>0.03</v>
      </c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75" customHeight="1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68" t="s">
        <v>103</v>
      </c>
      <c r="B5" s="69"/>
      <c r="C5" s="69"/>
      <c r="D5" s="69"/>
      <c r="E5" s="69"/>
      <c r="F5" s="70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75" customHeight="1">
      <c r="A6" s="71"/>
      <c r="B6" s="72"/>
      <c r="C6" s="72"/>
      <c r="D6" s="72"/>
      <c r="E6" s="72"/>
      <c r="F6" s="73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75" customHeight="1">
      <c r="A7" s="74" t="s">
        <v>104</v>
      </c>
      <c r="B7" s="75" t="s">
        <v>105</v>
      </c>
      <c r="C7" s="75" t="s">
        <v>99</v>
      </c>
      <c r="D7" s="75" t="s">
        <v>100</v>
      </c>
      <c r="E7" s="75" t="s">
        <v>101</v>
      </c>
      <c r="F7" s="75" t="s">
        <v>102</v>
      </c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75" customHeight="1">
      <c r="A8" s="76" t="s">
        <v>106</v>
      </c>
      <c r="B8" s="11">
        <v>2652.0</v>
      </c>
      <c r="C8" s="11">
        <v>2705.0</v>
      </c>
      <c r="D8" s="11">
        <v>2773.0</v>
      </c>
      <c r="E8" s="11">
        <v>2842.0</v>
      </c>
      <c r="F8" s="11">
        <v>2913.0</v>
      </c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75" customHeight="1">
      <c r="A9" s="9" t="s">
        <v>107</v>
      </c>
      <c r="B9" s="11">
        <v>2040.0</v>
      </c>
      <c r="C9" s="11">
        <v>2081.0</v>
      </c>
      <c r="D9" s="11">
        <v>2133.0</v>
      </c>
      <c r="E9" s="11">
        <v>2186.0</v>
      </c>
      <c r="F9" s="11">
        <v>2241.0</v>
      </c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75" customHeight="1">
      <c r="A10" s="76" t="s">
        <v>108</v>
      </c>
      <c r="B10" s="11">
        <v>1530.0</v>
      </c>
      <c r="C10" s="11">
        <v>1561.0</v>
      </c>
      <c r="D10" s="11">
        <v>1600.0</v>
      </c>
      <c r="E10" s="11">
        <v>1640.0</v>
      </c>
      <c r="F10" s="11">
        <v>1681.0</v>
      </c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9.25" customHeight="1">
      <c r="A11" s="9" t="s">
        <v>109</v>
      </c>
      <c r="B11" s="11">
        <v>51.0</v>
      </c>
      <c r="C11" s="11">
        <v>52.0</v>
      </c>
      <c r="D11" s="11">
        <v>53.0</v>
      </c>
      <c r="E11" s="11">
        <v>55.0</v>
      </c>
      <c r="F11" s="11">
        <v>56.0</v>
      </c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5.75" customHeight="1">
      <c r="A12" s="9" t="s">
        <v>110</v>
      </c>
      <c r="B12" s="11">
        <v>510.0</v>
      </c>
      <c r="C12" s="11">
        <v>520.0</v>
      </c>
      <c r="D12" s="11">
        <v>533.0</v>
      </c>
      <c r="E12" s="11">
        <v>547.0</v>
      </c>
      <c r="F12" s="11">
        <v>560.0</v>
      </c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9.25" customHeight="1">
      <c r="A13" s="9" t="s">
        <v>111</v>
      </c>
      <c r="B13" s="11">
        <v>510.0</v>
      </c>
      <c r="C13" s="11">
        <v>520.0</v>
      </c>
      <c r="D13" s="11">
        <v>533.0</v>
      </c>
      <c r="E13" s="11">
        <v>547.0</v>
      </c>
      <c r="F13" s="11">
        <v>560.0</v>
      </c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9.25" customHeight="1">
      <c r="A14" s="9" t="s">
        <v>112</v>
      </c>
      <c r="B14" s="11">
        <v>204.0</v>
      </c>
      <c r="C14" s="11">
        <v>208.0</v>
      </c>
      <c r="D14" s="11">
        <v>213.0</v>
      </c>
      <c r="E14" s="11">
        <v>219.0</v>
      </c>
      <c r="F14" s="11">
        <v>224.0</v>
      </c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77" t="s">
        <v>113</v>
      </c>
      <c r="B15" s="78" t="str">
        <f t="shared" ref="B15:F15" si="1">SUM(B8:B14)</f>
        <v>$7,497</v>
      </c>
      <c r="C15" s="78" t="str">
        <f t="shared" si="1"/>
        <v>$7,647</v>
      </c>
      <c r="D15" s="78" t="str">
        <f t="shared" si="1"/>
        <v>$7,838</v>
      </c>
      <c r="E15" s="78" t="str">
        <f t="shared" si="1"/>
        <v>$8,036</v>
      </c>
      <c r="F15" s="78" t="str">
        <f t="shared" si="1"/>
        <v>$8,235</v>
      </c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42.75" customHeight="1">
      <c r="A16" s="44" t="s">
        <v>114</v>
      </c>
      <c r="B16" s="79" t="str">
        <f>2220*B15</f>
        <v>$16,643,340</v>
      </c>
      <c r="C16" s="79" t="str">
        <f>2540*C15</f>
        <v>$19,423,380</v>
      </c>
      <c r="D16" s="79" t="str">
        <f>3210*'COSTOS DE PRODUCCION Y OTROS'!D15</f>
        <v>$25,159,980</v>
      </c>
      <c r="E16" s="79" t="str">
        <f>4200*E15</f>
        <v>$33,751,200</v>
      </c>
      <c r="F16" s="79" t="str">
        <f>5800*F15</f>
        <v>$47,763,000</v>
      </c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75" customHeight="1">
      <c r="A17" s="5"/>
      <c r="B17" s="5"/>
      <c r="C17" s="5"/>
      <c r="D17" s="5"/>
      <c r="E17" s="5"/>
      <c r="F17" s="5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5.75" customHeight="1">
      <c r="A18" s="80" t="s">
        <v>115</v>
      </c>
      <c r="B18" s="2"/>
      <c r="C18" s="2"/>
      <c r="D18" s="2"/>
      <c r="E18" s="3"/>
      <c r="F18" s="5"/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5.75" customHeight="1">
      <c r="A19" s="81" t="s">
        <v>98</v>
      </c>
      <c r="B19" s="82" t="s">
        <v>116</v>
      </c>
      <c r="C19" s="82" t="s">
        <v>100</v>
      </c>
      <c r="D19" s="82" t="s">
        <v>101</v>
      </c>
      <c r="E19" s="82" t="s">
        <v>102</v>
      </c>
      <c r="F19" s="5"/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75" customHeight="1">
      <c r="A20" s="83">
        <v>2045.0</v>
      </c>
      <c r="B20" s="29">
        <v>2106.0</v>
      </c>
      <c r="C20" s="29">
        <v>2170.0</v>
      </c>
      <c r="D20" s="29">
        <v>2235.0</v>
      </c>
      <c r="E20" s="29">
        <v>2302.0</v>
      </c>
      <c r="F20" s="5"/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5"/>
      <c r="B21" s="5"/>
      <c r="C21" s="5"/>
      <c r="D21" s="5"/>
      <c r="E21" s="5"/>
      <c r="F21" s="5"/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5"/>
      <c r="B22" s="5"/>
      <c r="C22" s="5"/>
      <c r="D22" s="5"/>
      <c r="E22" s="5"/>
      <c r="F22" s="5"/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5"/>
      <c r="B24" s="41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5"/>
      <c r="B25" s="5"/>
      <c r="C25" s="5"/>
      <c r="D25" s="5"/>
      <c r="E25" s="5"/>
      <c r="F25" s="5"/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5"/>
      <c r="B26" s="5"/>
      <c r="C26" s="5"/>
      <c r="D26" s="5"/>
      <c r="E26" s="5"/>
      <c r="F26" s="5"/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">
    <mergeCell ref="A18:E18"/>
    <mergeCell ref="A5:F6"/>
    <mergeCell ref="A1:E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.63"/>
    <col customWidth="1" min="2" max="2" width="21.0"/>
    <col customWidth="1" min="3" max="3" width="22.63"/>
    <col customWidth="1" min="4" max="4" width="20.13"/>
    <col customWidth="1" min="5" max="5" width="19.25"/>
    <col customWidth="1" min="6" max="6" width="19.0"/>
    <col customWidth="1" min="7" max="7" width="19.88"/>
    <col customWidth="1" min="8" max="17" width="7.25"/>
    <col customWidth="1" min="18" max="26" width="13.25"/>
  </cols>
  <sheetData>
    <row r="1" ht="15.75" customHeight="1">
      <c r="A1" s="5"/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75" customHeight="1">
      <c r="A2" s="5"/>
      <c r="B2" s="50" t="s">
        <v>117</v>
      </c>
      <c r="C2" s="2"/>
      <c r="D2" s="2"/>
      <c r="E2" s="2"/>
      <c r="F2" s="2"/>
      <c r="G2" s="3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43.5" customHeight="1">
      <c r="A3" s="5"/>
      <c r="B3" s="84" t="s">
        <v>118</v>
      </c>
      <c r="C3" s="85" t="s">
        <v>119</v>
      </c>
      <c r="D3" s="85" t="s">
        <v>120</v>
      </c>
      <c r="E3" s="85" t="s">
        <v>121</v>
      </c>
      <c r="F3" s="85" t="s">
        <v>122</v>
      </c>
      <c r="G3" s="85" t="s">
        <v>123</v>
      </c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33.75" customHeight="1">
      <c r="A4" s="5"/>
      <c r="B4" s="84" t="s">
        <v>124</v>
      </c>
      <c r="C4" s="86">
        <v>1860.0</v>
      </c>
      <c r="D4" s="86">
        <v>2000.0</v>
      </c>
      <c r="E4" s="86">
        <v>2400.0</v>
      </c>
      <c r="F4" s="86">
        <v>3000.0</v>
      </c>
      <c r="G4" s="86">
        <v>4000.0</v>
      </c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4.5" customHeight="1">
      <c r="A5" s="5"/>
      <c r="B5" s="84" t="s">
        <v>125</v>
      </c>
      <c r="C5" s="86">
        <v>120.0</v>
      </c>
      <c r="D5" s="86">
        <v>180.0</v>
      </c>
      <c r="E5" s="86">
        <v>270.0</v>
      </c>
      <c r="F5" s="86">
        <v>400.0</v>
      </c>
      <c r="G5" s="86">
        <v>600.0</v>
      </c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5"/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75" customHeight="1">
      <c r="A7" s="5"/>
      <c r="B7" s="5"/>
      <c r="C7" s="5"/>
      <c r="D7" s="5"/>
      <c r="E7" s="5"/>
      <c r="F7" s="5"/>
      <c r="G7" s="5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75" customHeight="1">
      <c r="A8" s="5"/>
      <c r="B8" s="50" t="s">
        <v>126</v>
      </c>
      <c r="C8" s="2"/>
      <c r="D8" s="2"/>
      <c r="E8" s="2"/>
      <c r="F8" s="2"/>
      <c r="G8" s="3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9.25" customHeight="1">
      <c r="A9" s="5"/>
      <c r="B9" s="84" t="s">
        <v>127</v>
      </c>
      <c r="C9" s="85" t="s">
        <v>119</v>
      </c>
      <c r="D9" s="85" t="s">
        <v>120</v>
      </c>
      <c r="E9" s="85" t="s">
        <v>121</v>
      </c>
      <c r="F9" s="85" t="s">
        <v>122</v>
      </c>
      <c r="G9" s="85" t="s">
        <v>123</v>
      </c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9.25" customHeight="1">
      <c r="A10" s="5"/>
      <c r="B10" s="84" t="s">
        <v>124</v>
      </c>
      <c r="C10" s="87">
        <v>15000.0</v>
      </c>
      <c r="D10" s="87" t="str">
        <f t="shared" ref="D10:G10" si="1">C10*0.05+(C10)</f>
        <v>  15,750   </v>
      </c>
      <c r="E10" s="87" t="str">
        <f t="shared" si="1"/>
        <v>  16,538   </v>
      </c>
      <c r="F10" s="87" t="str">
        <f t="shared" si="1"/>
        <v>  17,364   </v>
      </c>
      <c r="G10" s="87" t="str">
        <f t="shared" si="1"/>
        <v>  18,233   </v>
      </c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46.5" customHeight="1">
      <c r="A11" s="5"/>
      <c r="B11" s="84" t="s">
        <v>125</v>
      </c>
      <c r="C11" s="87">
        <v>40000.0</v>
      </c>
      <c r="D11" s="87" t="str">
        <f t="shared" ref="D11:G11" si="2">C11*0.05+(C11)</f>
        <v>  42,000   </v>
      </c>
      <c r="E11" s="87" t="str">
        <f t="shared" si="2"/>
        <v>  44,100   </v>
      </c>
      <c r="F11" s="87" t="str">
        <f t="shared" si="2"/>
        <v>  46,305   </v>
      </c>
      <c r="G11" s="87" t="str">
        <f t="shared" si="2"/>
        <v>  48,620   </v>
      </c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5"/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0.5" customHeight="1">
      <c r="A13" s="5"/>
      <c r="B13" s="5"/>
      <c r="C13" s="5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5.75" customHeight="1">
      <c r="A14" s="5"/>
      <c r="B14" s="50" t="s">
        <v>128</v>
      </c>
      <c r="C14" s="2"/>
      <c r="D14" s="2"/>
      <c r="E14" s="2"/>
      <c r="F14" s="2"/>
      <c r="G14" s="3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41.25" customHeight="1">
      <c r="A15" s="5"/>
      <c r="B15" s="84" t="s">
        <v>129</v>
      </c>
      <c r="C15" s="85" t="s">
        <v>119</v>
      </c>
      <c r="D15" s="85" t="s">
        <v>120</v>
      </c>
      <c r="E15" s="85" t="s">
        <v>121</v>
      </c>
      <c r="F15" s="85" t="s">
        <v>122</v>
      </c>
      <c r="G15" s="85" t="s">
        <v>123</v>
      </c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9.25" customHeight="1">
      <c r="A16" s="5"/>
      <c r="B16" s="84" t="s">
        <v>124</v>
      </c>
      <c r="C16" s="88" t="str">
        <f>C4*C10</f>
        <v>  27,900,000   </v>
      </c>
      <c r="D16" s="88" t="str">
        <f t="shared" ref="D16:G16" si="3">D10*D4</f>
        <v>  31,500,000   </v>
      </c>
      <c r="E16" s="88" t="str">
        <f t="shared" si="3"/>
        <v>  39,690,000   </v>
      </c>
      <c r="F16" s="88" t="str">
        <f t="shared" si="3"/>
        <v>  52,093,125   </v>
      </c>
      <c r="G16" s="88" t="str">
        <f t="shared" si="3"/>
        <v>  72,930,375   </v>
      </c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28.5" customHeight="1">
      <c r="A17" s="5"/>
      <c r="B17" s="89" t="s">
        <v>125</v>
      </c>
      <c r="C17" s="90" t="str">
        <f t="shared" ref="C17:G17" si="4">C11*C5</f>
        <v>  4,800,000   </v>
      </c>
      <c r="D17" s="91" t="str">
        <f t="shared" si="4"/>
        <v>  7,560,000   </v>
      </c>
      <c r="E17" s="91" t="str">
        <f t="shared" si="4"/>
        <v>  11,907,000   </v>
      </c>
      <c r="F17" s="91" t="str">
        <f t="shared" si="4"/>
        <v>  18,522,000   </v>
      </c>
      <c r="G17" s="92" t="str">
        <f t="shared" si="4"/>
        <v>  29,172,150   </v>
      </c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5"/>
      <c r="B18" s="93" t="s">
        <v>48</v>
      </c>
      <c r="C18" s="94" t="str">
        <f t="shared" ref="C18:G18" si="5">SUM(C16:C17)</f>
        <v>  32,700,000   </v>
      </c>
      <c r="D18" s="95" t="str">
        <f t="shared" si="5"/>
        <v>  39,060,000   </v>
      </c>
      <c r="E18" s="95" t="str">
        <f t="shared" si="5"/>
        <v>  51,597,000   </v>
      </c>
      <c r="F18" s="95" t="str">
        <f t="shared" si="5"/>
        <v>  70,615,125   </v>
      </c>
      <c r="G18" s="96" t="str">
        <f t="shared" si="5"/>
        <v>  102,102,525   </v>
      </c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5.75" customHeight="1">
      <c r="A19" s="5"/>
      <c r="B19" s="97" t="s">
        <v>130</v>
      </c>
      <c r="C19" s="98" t="str">
        <f>C18-'COSTOS DE PRODUCCION Y OTROS'!B16</f>
        <v>  16,056,660   </v>
      </c>
      <c r="D19" s="99" t="str">
        <f>D18-'COSTOS DE PRODUCCION Y OTROS'!C16</f>
        <v>  19,636,620   </v>
      </c>
      <c r="E19" s="99" t="str">
        <f>E18-'COSTOS DE PRODUCCION Y OTROS'!D16</f>
        <v>  26,437,020   </v>
      </c>
      <c r="F19" s="99" t="str">
        <f>F18-'COSTOS DE PRODUCCION Y OTROS'!E16</f>
        <v>  36,863,925   </v>
      </c>
      <c r="G19" s="100" t="str">
        <f>G18-'COSTOS DE PRODUCCION Y OTROS'!F16</f>
        <v>  54,339,525   </v>
      </c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5"/>
      <c r="B20" s="5"/>
      <c r="C20" s="5"/>
      <c r="D20" s="5"/>
      <c r="E20" s="5"/>
      <c r="F20" s="5"/>
      <c r="G20" s="5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5"/>
      <c r="B21" s="5"/>
      <c r="C21" s="5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5"/>
      <c r="B22" s="5"/>
      <c r="C22" s="5"/>
      <c r="D22" s="5"/>
      <c r="E22" s="5"/>
      <c r="F22" s="5"/>
      <c r="G22" s="5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">
    <mergeCell ref="B2:G2"/>
    <mergeCell ref="B8:G8"/>
    <mergeCell ref="B14:G14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.88"/>
    <col customWidth="1" min="2" max="2" width="10.75"/>
    <col customWidth="1" min="3" max="3" width="10.38"/>
    <col customWidth="1" min="4" max="4" width="9.5"/>
    <col customWidth="1" min="5" max="5" width="9.0"/>
    <col customWidth="1" min="6" max="6" width="8.75"/>
    <col customWidth="1" min="7" max="16" width="7.25"/>
    <col customWidth="1" min="17" max="26" width="13.25"/>
  </cols>
  <sheetData>
    <row r="1">
      <c r="A1" s="5"/>
      <c r="B1" s="5"/>
      <c r="C1" s="5" t="s">
        <v>131</v>
      </c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5"/>
      <c r="B2" s="101" t="s">
        <v>132</v>
      </c>
      <c r="C2" s="95" t="str">
        <f>'GASTOS INICIALES'!C3</f>
        <v>  15,860,000   </v>
      </c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5"/>
      <c r="B3" s="101" t="s">
        <v>133</v>
      </c>
      <c r="C3" s="102">
        <v>0.02</v>
      </c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5"/>
      <c r="B4" s="101" t="s">
        <v>134</v>
      </c>
      <c r="C4" s="101">
        <v>36.0</v>
      </c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5"/>
      <c r="B5" s="101" t="s">
        <v>135</v>
      </c>
      <c r="C5" s="103" t="str">
        <f>-PMT(C3,C4,C2,0)</f>
        <v>622,233 €</v>
      </c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5"/>
      <c r="B7" s="104" t="s">
        <v>136</v>
      </c>
      <c r="C7" s="104" t="s">
        <v>137</v>
      </c>
      <c r="D7" s="104" t="s">
        <v>138</v>
      </c>
      <c r="E7" s="104" t="s">
        <v>139</v>
      </c>
      <c r="F7" s="104" t="s">
        <v>140</v>
      </c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5"/>
      <c r="B8" s="105"/>
      <c r="C8" s="105"/>
      <c r="D8" s="105"/>
      <c r="E8" s="105"/>
      <c r="F8" s="106" t="str">
        <f>C2</f>
        <v>  15,860,000   </v>
      </c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5"/>
      <c r="B9" s="105">
        <v>1.0</v>
      </c>
      <c r="C9" s="103" t="str">
        <f t="shared" ref="C9:C44" si="1">$C$5</f>
        <v>622,233 €</v>
      </c>
      <c r="D9" s="95" t="str">
        <f>$F$8*$C$3</f>
        <v>  317,200   </v>
      </c>
      <c r="E9" s="103" t="str">
        <f>$C$9-$D$9</f>
        <v>305,033 €</v>
      </c>
      <c r="F9" s="95" t="str">
        <f>$F$8-$E$9</f>
        <v>  15,554,967   </v>
      </c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5"/>
      <c r="B10" s="105">
        <v>2.0</v>
      </c>
      <c r="C10" s="103" t="str">
        <f t="shared" si="1"/>
        <v>622,233 €</v>
      </c>
      <c r="D10" s="95" t="str">
        <f>$F$9*$C$3</f>
        <v>  311,099   </v>
      </c>
      <c r="E10" s="103" t="str">
        <f>$C$10-$D$10</f>
        <v>311,134 €</v>
      </c>
      <c r="F10" s="95" t="str">
        <f>$F$9-$E$10</f>
        <v>  15,243,833   </v>
      </c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5"/>
      <c r="B11" s="105">
        <v>3.0</v>
      </c>
      <c r="C11" s="103" t="str">
        <f t="shared" si="1"/>
        <v>622,233 €</v>
      </c>
      <c r="D11" s="95" t="str">
        <f>$F$10*$C$3</f>
        <v>  304,877   </v>
      </c>
      <c r="E11" s="103" t="str">
        <f>$C$11-$D$11</f>
        <v>317,356 €</v>
      </c>
      <c r="F11" s="95" t="str">
        <f>$F$10-$E$11</f>
        <v>  14,926,477   </v>
      </c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5"/>
      <c r="B12" s="105">
        <v>4.0</v>
      </c>
      <c r="C12" s="103" t="str">
        <f t="shared" si="1"/>
        <v>622,233 €</v>
      </c>
      <c r="D12" s="95" t="str">
        <f>$F$11*$C$3</f>
        <v>  298,530   </v>
      </c>
      <c r="E12" s="103" t="str">
        <f>$C$12-$D$12</f>
        <v>323,704 €</v>
      </c>
      <c r="F12" s="95" t="str">
        <f>$F$11-$E$12</f>
        <v>  14,602,773   </v>
      </c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5"/>
      <c r="B13" s="105">
        <v>5.0</v>
      </c>
      <c r="C13" s="103" t="str">
        <f t="shared" si="1"/>
        <v>622,233 €</v>
      </c>
      <c r="D13" s="95" t="str">
        <f>$F$12*$C$3</f>
        <v>  292,055   </v>
      </c>
      <c r="E13" s="103" t="str">
        <f>$C$13-$D$13</f>
        <v>330,178 €</v>
      </c>
      <c r="F13" s="95" t="str">
        <f>$F$12-$E$13</f>
        <v>  14,272,596   </v>
      </c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5"/>
      <c r="B14" s="105">
        <v>6.0</v>
      </c>
      <c r="C14" s="103" t="str">
        <f t="shared" si="1"/>
        <v>622,233 €</v>
      </c>
      <c r="D14" s="95" t="str">
        <f>$F$13*$C$3</f>
        <v>  285,452   </v>
      </c>
      <c r="E14" s="103" t="str">
        <f>$C$14-$D$14</f>
        <v>336,781 €</v>
      </c>
      <c r="F14" s="95" t="str">
        <f>$F$13-$E$14</f>
        <v>  13,935,815   </v>
      </c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5"/>
      <c r="B15" s="105">
        <v>7.0</v>
      </c>
      <c r="C15" s="103" t="str">
        <f t="shared" si="1"/>
        <v>622,233 €</v>
      </c>
      <c r="D15" s="95" t="str">
        <f>$F$14*$C$3</f>
        <v>  278,716   </v>
      </c>
      <c r="E15" s="103" t="str">
        <f>$C$15-$D$15</f>
        <v>343,517 €</v>
      </c>
      <c r="F15" s="95" t="str">
        <f>$F$14-$E$15</f>
        <v>  13,592,298   </v>
      </c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5"/>
      <c r="B16" s="105">
        <v>8.0</v>
      </c>
      <c r="C16" s="103" t="str">
        <f t="shared" si="1"/>
        <v>622,233 €</v>
      </c>
      <c r="D16" s="95" t="str">
        <f>F15*C3</f>
        <v>  271,846   </v>
      </c>
      <c r="E16" s="103" t="str">
        <f t="shared" ref="E16:E44" si="2">C16-D16</f>
        <v>350,387 €</v>
      </c>
      <c r="F16" s="95" t="str">
        <f t="shared" ref="F16:F44" si="3">F15-E16</f>
        <v>  13,241,911   </v>
      </c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5"/>
      <c r="B17" s="105">
        <v>9.0</v>
      </c>
      <c r="C17" s="103" t="str">
        <f t="shared" si="1"/>
        <v>622,233 €</v>
      </c>
      <c r="D17" s="95" t="str">
        <f>F16*C3</f>
        <v>  264,838   </v>
      </c>
      <c r="E17" s="103" t="str">
        <f t="shared" si="2"/>
        <v>357,395 €</v>
      </c>
      <c r="F17" s="95" t="str">
        <f t="shared" si="3"/>
        <v>  12,884,516   </v>
      </c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5"/>
      <c r="B18" s="105">
        <v>10.0</v>
      </c>
      <c r="C18" s="103" t="str">
        <f t="shared" si="1"/>
        <v>622,233 €</v>
      </c>
      <c r="D18" s="95" t="str">
        <f>F17*C3</f>
        <v>  257,690   </v>
      </c>
      <c r="E18" s="103" t="str">
        <f t="shared" si="2"/>
        <v>364,543 €</v>
      </c>
      <c r="F18" s="95" t="str">
        <f t="shared" si="3"/>
        <v>  12,519,973   </v>
      </c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5"/>
      <c r="B19" s="105">
        <v>11.0</v>
      </c>
      <c r="C19" s="103" t="str">
        <f t="shared" si="1"/>
        <v>622,233 €</v>
      </c>
      <c r="D19" s="95" t="str">
        <f>F18*C3</f>
        <v>  250,399   </v>
      </c>
      <c r="E19" s="103" t="str">
        <f t="shared" si="2"/>
        <v>371,834 €</v>
      </c>
      <c r="F19" s="95" t="str">
        <f t="shared" si="3"/>
        <v>  12,148,140   </v>
      </c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5"/>
      <c r="B20" s="105">
        <v>12.0</v>
      </c>
      <c r="C20" s="103" t="str">
        <f t="shared" si="1"/>
        <v>622,233 €</v>
      </c>
      <c r="D20" s="95" t="str">
        <f>F19*C3</f>
        <v>  242,963   </v>
      </c>
      <c r="E20" s="103" t="str">
        <f t="shared" si="2"/>
        <v>379,270 €</v>
      </c>
      <c r="F20" s="95" t="str">
        <f t="shared" si="3"/>
        <v>  11,768,869   </v>
      </c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5"/>
      <c r="B21" s="105">
        <v>13.0</v>
      </c>
      <c r="C21" s="103" t="str">
        <f t="shared" si="1"/>
        <v>622,233 €</v>
      </c>
      <c r="D21" s="95" t="str">
        <f>F20*C3</f>
        <v>  235,377   </v>
      </c>
      <c r="E21" s="103" t="str">
        <f t="shared" si="2"/>
        <v>386,856 €</v>
      </c>
      <c r="F21" s="95" t="str">
        <f t="shared" si="3"/>
        <v>  11,382,014   </v>
      </c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5"/>
      <c r="B22" s="105">
        <v>14.0</v>
      </c>
      <c r="C22" s="103" t="str">
        <f t="shared" si="1"/>
        <v>622,233 €</v>
      </c>
      <c r="D22" s="95" t="str">
        <f>F21*C3</f>
        <v>  227,640   </v>
      </c>
      <c r="E22" s="103" t="str">
        <f t="shared" si="2"/>
        <v>394,593 €</v>
      </c>
      <c r="F22" s="95" t="str">
        <f t="shared" si="3"/>
        <v>  10,987,421   </v>
      </c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5"/>
      <c r="B23" s="105">
        <v>15.0</v>
      </c>
      <c r="C23" s="103" t="str">
        <f t="shared" si="1"/>
        <v>622,233 €</v>
      </c>
      <c r="D23" s="95" t="str">
        <f>F22*C3</f>
        <v>  219,748   </v>
      </c>
      <c r="E23" s="103" t="str">
        <f t="shared" si="2"/>
        <v>402,485 €</v>
      </c>
      <c r="F23" s="95" t="str">
        <f t="shared" si="3"/>
        <v>  10,584,936   </v>
      </c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5"/>
      <c r="B24" s="105">
        <v>16.0</v>
      </c>
      <c r="C24" s="103" t="str">
        <f t="shared" si="1"/>
        <v>622,233 €</v>
      </c>
      <c r="D24" s="95" t="str">
        <f>F23*C3</f>
        <v>  211,699   </v>
      </c>
      <c r="E24" s="103" t="str">
        <f t="shared" si="2"/>
        <v>410,534 €</v>
      </c>
      <c r="F24" s="95" t="str">
        <f t="shared" si="3"/>
        <v>  10,174,402   </v>
      </c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5"/>
      <c r="B25" s="105">
        <v>17.0</v>
      </c>
      <c r="C25" s="103" t="str">
        <f t="shared" si="1"/>
        <v>622,233 €</v>
      </c>
      <c r="D25" s="95" t="str">
        <f>F24*C3</f>
        <v>  203,488   </v>
      </c>
      <c r="E25" s="103" t="str">
        <f t="shared" si="2"/>
        <v>418,745 €</v>
      </c>
      <c r="F25" s="95" t="str">
        <f t="shared" si="3"/>
        <v>  9,755,657   </v>
      </c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5"/>
      <c r="B26" s="105">
        <v>18.0</v>
      </c>
      <c r="C26" s="103" t="str">
        <f t="shared" si="1"/>
        <v>622,233 €</v>
      </c>
      <c r="D26" s="95" t="str">
        <f>F25*C3</f>
        <v>  195,113   </v>
      </c>
      <c r="E26" s="103" t="str">
        <f t="shared" si="2"/>
        <v>427,120 €</v>
      </c>
      <c r="F26" s="95" t="str">
        <f t="shared" si="3"/>
        <v>  9,328,537   </v>
      </c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5"/>
      <c r="B27" s="105">
        <v>19.0</v>
      </c>
      <c r="C27" s="103" t="str">
        <f t="shared" si="1"/>
        <v>622,233 €</v>
      </c>
      <c r="D27" s="95" t="str">
        <f>F26*C3</f>
        <v>  186,571   </v>
      </c>
      <c r="E27" s="103" t="str">
        <f t="shared" si="2"/>
        <v>435,662 €</v>
      </c>
      <c r="F27" s="95" t="str">
        <f t="shared" si="3"/>
        <v>  8,892,875   </v>
      </c>
      <c r="G27" s="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5"/>
      <c r="B28" s="105">
        <v>20.0</v>
      </c>
      <c r="C28" s="103" t="str">
        <f t="shared" si="1"/>
        <v>622,233 €</v>
      </c>
      <c r="D28" s="95" t="str">
        <f>F27*C3</f>
        <v>  177,857   </v>
      </c>
      <c r="E28" s="103" t="str">
        <f t="shared" si="2"/>
        <v>444,376 €</v>
      </c>
      <c r="F28" s="95" t="str">
        <f t="shared" si="3"/>
        <v>  8,448,499   </v>
      </c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5"/>
      <c r="B29" s="105">
        <v>21.0</v>
      </c>
      <c r="C29" s="103" t="str">
        <f t="shared" si="1"/>
        <v>622,233 €</v>
      </c>
      <c r="D29" s="95" t="str">
        <f>F28*C3</f>
        <v>  168,970   </v>
      </c>
      <c r="E29" s="103" t="str">
        <f t="shared" si="2"/>
        <v>453,263 €</v>
      </c>
      <c r="F29" s="95" t="str">
        <f t="shared" si="3"/>
        <v>  7,995,236   </v>
      </c>
      <c r="G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5"/>
      <c r="B30" s="105">
        <v>22.0</v>
      </c>
      <c r="C30" s="103" t="str">
        <f t="shared" si="1"/>
        <v>622,233 €</v>
      </c>
      <c r="D30" s="95" t="str">
        <f>F29*C3</f>
        <v>  159,905   </v>
      </c>
      <c r="E30" s="103" t="str">
        <f t="shared" si="2"/>
        <v>462,328 €</v>
      </c>
      <c r="F30" s="95" t="str">
        <f t="shared" si="3"/>
        <v>  7,532,908   </v>
      </c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5"/>
      <c r="B31" s="105">
        <v>23.0</v>
      </c>
      <c r="C31" s="103" t="str">
        <f t="shared" si="1"/>
        <v>622,233 €</v>
      </c>
      <c r="D31" s="95" t="str">
        <f>F30*C3</f>
        <v>  150,658   </v>
      </c>
      <c r="E31" s="103" t="str">
        <f t="shared" si="2"/>
        <v>471,575 €</v>
      </c>
      <c r="F31" s="95" t="str">
        <f t="shared" si="3"/>
        <v>  7,061,333   </v>
      </c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5"/>
      <c r="B32" s="105">
        <v>24.0</v>
      </c>
      <c r="C32" s="103" t="str">
        <f t="shared" si="1"/>
        <v>622,233 €</v>
      </c>
      <c r="D32" s="95" t="str">
        <f>F31*C3</f>
        <v>  141,227   </v>
      </c>
      <c r="E32" s="103" t="str">
        <f t="shared" si="2"/>
        <v>481,006 €</v>
      </c>
      <c r="F32" s="95" t="str">
        <f t="shared" si="3"/>
        <v>  6,580,327   </v>
      </c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5"/>
      <c r="B33" s="105">
        <v>25.0</v>
      </c>
      <c r="C33" s="103" t="str">
        <f t="shared" si="1"/>
        <v>622,233 €</v>
      </c>
      <c r="D33" s="95" t="str">
        <f>F32*C3</f>
        <v>  131,607   </v>
      </c>
      <c r="E33" s="103" t="str">
        <f t="shared" si="2"/>
        <v>490,627 €</v>
      </c>
      <c r="F33" s="95" t="str">
        <f t="shared" si="3"/>
        <v>  6,089,700   </v>
      </c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5"/>
      <c r="B34" s="105">
        <v>26.0</v>
      </c>
      <c r="C34" s="103" t="str">
        <f t="shared" si="1"/>
        <v>622,233 €</v>
      </c>
      <c r="D34" s="95" t="str">
        <f>F33*C3</f>
        <v>  121,794   </v>
      </c>
      <c r="E34" s="103" t="str">
        <f t="shared" si="2"/>
        <v>500,439 €</v>
      </c>
      <c r="F34" s="95" t="str">
        <f t="shared" si="3"/>
        <v>  5,589,261   </v>
      </c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5"/>
      <c r="B35" s="105">
        <v>27.0</v>
      </c>
      <c r="C35" s="103" t="str">
        <f t="shared" si="1"/>
        <v>622,233 €</v>
      </c>
      <c r="D35" s="95" t="str">
        <f>F34*C3</f>
        <v>  111,785   </v>
      </c>
      <c r="E35" s="103" t="str">
        <f t="shared" si="2"/>
        <v>510,448 €</v>
      </c>
      <c r="F35" s="95" t="str">
        <f t="shared" si="3"/>
        <v>  5,078,813   </v>
      </c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5"/>
      <c r="B36" s="105">
        <v>28.0</v>
      </c>
      <c r="C36" s="103" t="str">
        <f t="shared" si="1"/>
        <v>622,233 €</v>
      </c>
      <c r="D36" s="95" t="str">
        <f>F35*C3</f>
        <v>  101,576   </v>
      </c>
      <c r="E36" s="103" t="str">
        <f t="shared" si="2"/>
        <v>520,657 €</v>
      </c>
      <c r="F36" s="95" t="str">
        <f t="shared" si="3"/>
        <v>  4,558,157   </v>
      </c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5"/>
      <c r="B37" s="105">
        <v>29.0</v>
      </c>
      <c r="C37" s="103" t="str">
        <f t="shared" si="1"/>
        <v>622,233 €</v>
      </c>
      <c r="D37" s="95" t="str">
        <f>F36*C3</f>
        <v>  91,163   </v>
      </c>
      <c r="E37" s="103" t="str">
        <f t="shared" si="2"/>
        <v>531,070 €</v>
      </c>
      <c r="F37" s="95" t="str">
        <f t="shared" si="3"/>
        <v>  4,027,087   </v>
      </c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5"/>
      <c r="B38" s="105">
        <v>30.0</v>
      </c>
      <c r="C38" s="103" t="str">
        <f t="shared" si="1"/>
        <v>622,233 €</v>
      </c>
      <c r="D38" s="95" t="str">
        <f>F37*C3</f>
        <v>  80,542   </v>
      </c>
      <c r="E38" s="103" t="str">
        <f t="shared" si="2"/>
        <v>541,691 €</v>
      </c>
      <c r="F38" s="95" t="str">
        <f t="shared" si="3"/>
        <v>  3,485,395   </v>
      </c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5"/>
      <c r="B39" s="105">
        <v>31.0</v>
      </c>
      <c r="C39" s="103" t="str">
        <f t="shared" si="1"/>
        <v>622,233 €</v>
      </c>
      <c r="D39" s="95" t="str">
        <f>F38*C3</f>
        <v>  69,708   </v>
      </c>
      <c r="E39" s="103" t="str">
        <f t="shared" si="2"/>
        <v>552,525 €</v>
      </c>
      <c r="F39" s="95" t="str">
        <f t="shared" si="3"/>
        <v>  2,932,870   </v>
      </c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5"/>
      <c r="B40" s="105">
        <v>32.0</v>
      </c>
      <c r="C40" s="103" t="str">
        <f t="shared" si="1"/>
        <v>622,233 €</v>
      </c>
      <c r="D40" s="95" t="str">
        <f>F39*C3</f>
        <v>  58,657   </v>
      </c>
      <c r="E40" s="103" t="str">
        <f t="shared" si="2"/>
        <v>563,576 €</v>
      </c>
      <c r="F40" s="95" t="str">
        <f t="shared" si="3"/>
        <v>  2,369,295   </v>
      </c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5"/>
      <c r="B41" s="105">
        <v>33.0</v>
      </c>
      <c r="C41" s="103" t="str">
        <f t="shared" si="1"/>
        <v>622,233 €</v>
      </c>
      <c r="D41" s="95" t="str">
        <f>F40*C3</f>
        <v>  47,386   </v>
      </c>
      <c r="E41" s="103" t="str">
        <f t="shared" si="2"/>
        <v>574,847 €</v>
      </c>
      <c r="F41" s="95" t="str">
        <f t="shared" si="3"/>
        <v>  1,794,447   </v>
      </c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5"/>
      <c r="B42" s="105">
        <v>34.0</v>
      </c>
      <c r="C42" s="103" t="str">
        <f t="shared" si="1"/>
        <v>622,233 €</v>
      </c>
      <c r="D42" s="95" t="str">
        <f>F41*C3</f>
        <v>  35,889   </v>
      </c>
      <c r="E42" s="103" t="str">
        <f t="shared" si="2"/>
        <v>586,344 €</v>
      </c>
      <c r="F42" s="95" t="str">
        <f t="shared" si="3"/>
        <v>  1,208,103   </v>
      </c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5"/>
      <c r="B43" s="105">
        <v>35.0</v>
      </c>
      <c r="C43" s="103" t="str">
        <f t="shared" si="1"/>
        <v>622,233 €</v>
      </c>
      <c r="D43" s="95" t="str">
        <f>F42*C3</f>
        <v>  24,162   </v>
      </c>
      <c r="E43" s="103" t="str">
        <f t="shared" si="2"/>
        <v>598,071 €</v>
      </c>
      <c r="F43" s="95" t="str">
        <f t="shared" si="3"/>
        <v>  610,032   </v>
      </c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5"/>
      <c r="B44" s="105">
        <v>36.0</v>
      </c>
      <c r="C44" s="103" t="str">
        <f t="shared" si="1"/>
        <v>622,233 €</v>
      </c>
      <c r="D44" s="95" t="str">
        <f>F43*C3</f>
        <v>  12,201   </v>
      </c>
      <c r="E44" s="103" t="str">
        <f t="shared" si="2"/>
        <v>610,032 €</v>
      </c>
      <c r="F44" s="95" t="str">
        <f t="shared" si="3"/>
        <v>  0   </v>
      </c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5"/>
      <c r="B45" s="5"/>
      <c r="C45" s="5"/>
      <c r="D45" s="5"/>
      <c r="E45" s="5"/>
      <c r="F45" s="5"/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5"/>
      <c r="B46" s="5"/>
      <c r="C46" s="5"/>
      <c r="D46" s="5"/>
      <c r="E46" s="5"/>
      <c r="F46" s="5"/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drawing r:id="rId1"/>
</worksheet>
</file>